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cktonerickson/Desktop/FIN 3300/Final Project/"/>
    </mc:Choice>
  </mc:AlternateContent>
  <xr:revisionPtr revIDLastSave="0" documentId="13_ncr:1_{EF864D9C-C41F-4442-A252-593BC11A3E7C}" xr6:coauthVersionLast="47" xr6:coauthVersionMax="47" xr10:uidLastSave="{00000000-0000-0000-0000-000000000000}"/>
  <bookViews>
    <workbookView xWindow="0" yWindow="0" windowWidth="28800" windowHeight="18000" activeTab="2" xr2:uid="{ADC1EBFC-2D87-534D-A4EA-F61B4EE57D2A}"/>
  </bookViews>
  <sheets>
    <sheet name="Returns" sheetId="1" r:id="rId1"/>
    <sheet name="Portfolio" sheetId="4" r:id="rId2"/>
    <sheet name="Final Investment" sheetId="5" r:id="rId3"/>
    <sheet name="Stock Valuation" sheetId="3" r:id="rId4"/>
    <sheet name="Report" sheetId="2" r:id="rId5"/>
  </sheets>
  <definedNames>
    <definedName name="solver_adj" localSheetId="1" hidden="1">Portfolio!$I$16:$M$16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Portfolio!$N$16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opt" localSheetId="1" hidden="1">Portfolio!$H$11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5" l="1"/>
  <c r="B8" i="5"/>
  <c r="B7" i="5"/>
  <c r="N14" i="4" l="1"/>
  <c r="O20" i="4"/>
  <c r="AC20" i="4" s="1"/>
  <c r="O21" i="4"/>
  <c r="AC21" i="4" s="1"/>
  <c r="O22" i="4"/>
  <c r="AC22" i="4" s="1"/>
  <c r="O23" i="4"/>
  <c r="AC23" i="4" s="1"/>
  <c r="O24" i="4"/>
  <c r="AC24" i="4" s="1"/>
  <c r="O25" i="4"/>
  <c r="AC25" i="4" s="1"/>
  <c r="O26" i="4"/>
  <c r="AC26" i="4" s="1"/>
  <c r="O27" i="4"/>
  <c r="AC27" i="4" s="1"/>
  <c r="O28" i="4"/>
  <c r="AC28" i="4" s="1"/>
  <c r="O29" i="4"/>
  <c r="AC29" i="4" s="1"/>
  <c r="O30" i="4"/>
  <c r="AC30" i="4" s="1"/>
  <c r="O31" i="4"/>
  <c r="AC31" i="4" s="1"/>
  <c r="O32" i="4"/>
  <c r="AC32" i="4" s="1"/>
  <c r="O33" i="4"/>
  <c r="AC33" i="4" s="1"/>
  <c r="O34" i="4"/>
  <c r="AC34" i="4" s="1"/>
  <c r="O35" i="4"/>
  <c r="AC35" i="4" s="1"/>
  <c r="O36" i="4"/>
  <c r="AC36" i="4" s="1"/>
  <c r="O37" i="4"/>
  <c r="AC37" i="4" s="1"/>
  <c r="O38" i="4"/>
  <c r="AC38" i="4" s="1"/>
  <c r="O39" i="4"/>
  <c r="AC39" i="4" s="1"/>
  <c r="O40" i="4"/>
  <c r="AC40" i="4" s="1"/>
  <c r="O41" i="4"/>
  <c r="AC41" i="4" s="1"/>
  <c r="O42" i="4"/>
  <c r="AC42" i="4" s="1"/>
  <c r="O43" i="4"/>
  <c r="AC43" i="4" s="1"/>
  <c r="O44" i="4"/>
  <c r="AC44" i="4" s="1"/>
  <c r="O45" i="4"/>
  <c r="AC45" i="4" s="1"/>
  <c r="O46" i="4"/>
  <c r="AC46" i="4" s="1"/>
  <c r="O47" i="4"/>
  <c r="AC47" i="4" s="1"/>
  <c r="O48" i="4"/>
  <c r="AC48" i="4" s="1"/>
  <c r="O49" i="4"/>
  <c r="AC49" i="4" s="1"/>
  <c r="O50" i="4"/>
  <c r="AC50" i="4" s="1"/>
  <c r="O51" i="4"/>
  <c r="AC51" i="4" s="1"/>
  <c r="O52" i="4"/>
  <c r="AC52" i="4" s="1"/>
  <c r="O53" i="4"/>
  <c r="AC53" i="4" s="1"/>
  <c r="O54" i="4"/>
  <c r="AC54" i="4" s="1"/>
  <c r="O55" i="4"/>
  <c r="AC55" i="4" s="1"/>
  <c r="O56" i="4"/>
  <c r="AC56" i="4" s="1"/>
  <c r="O57" i="4"/>
  <c r="AC57" i="4" s="1"/>
  <c r="O58" i="4"/>
  <c r="AC58" i="4" s="1"/>
  <c r="O59" i="4"/>
  <c r="AC59" i="4" s="1"/>
  <c r="O60" i="4"/>
  <c r="AC60" i="4" s="1"/>
  <c r="O61" i="4"/>
  <c r="AC61" i="4" s="1"/>
  <c r="O62" i="4"/>
  <c r="AC62" i="4" s="1"/>
  <c r="O63" i="4"/>
  <c r="AC63" i="4" s="1"/>
  <c r="O64" i="4"/>
  <c r="AC64" i="4" s="1"/>
  <c r="O65" i="4"/>
  <c r="AC65" i="4" s="1"/>
  <c r="O66" i="4"/>
  <c r="AC66" i="4" s="1"/>
  <c r="O67" i="4"/>
  <c r="AC67" i="4" s="1"/>
  <c r="O68" i="4"/>
  <c r="AC68" i="4" s="1"/>
  <c r="O69" i="4"/>
  <c r="AC69" i="4" s="1"/>
  <c r="O70" i="4"/>
  <c r="AC70" i="4" s="1"/>
  <c r="O71" i="4"/>
  <c r="AC71" i="4" s="1"/>
  <c r="O72" i="4"/>
  <c r="AC72" i="4" s="1"/>
  <c r="O73" i="4"/>
  <c r="AC73" i="4" s="1"/>
  <c r="O74" i="4"/>
  <c r="AC74" i="4" s="1"/>
  <c r="O75" i="4"/>
  <c r="AC75" i="4" s="1"/>
  <c r="O76" i="4"/>
  <c r="AC76" i="4" s="1"/>
  <c r="O77" i="4"/>
  <c r="AC77" i="4" s="1"/>
  <c r="O78" i="4"/>
  <c r="AC78" i="4" s="1"/>
  <c r="Y20" i="4"/>
  <c r="Z20" i="4"/>
  <c r="AA20" i="4"/>
  <c r="AB20" i="4"/>
  <c r="Y21" i="4"/>
  <c r="Z21" i="4"/>
  <c r="AA21" i="4"/>
  <c r="AB21" i="4"/>
  <c r="Y22" i="4"/>
  <c r="Z22" i="4"/>
  <c r="AA22" i="4"/>
  <c r="AB22" i="4"/>
  <c r="Y23" i="4"/>
  <c r="Z23" i="4"/>
  <c r="AA23" i="4"/>
  <c r="AB23" i="4"/>
  <c r="Y24" i="4"/>
  <c r="Z24" i="4"/>
  <c r="AA24" i="4"/>
  <c r="AB24" i="4"/>
  <c r="Y25" i="4"/>
  <c r="Z25" i="4"/>
  <c r="AA25" i="4"/>
  <c r="AB25" i="4"/>
  <c r="Y26" i="4"/>
  <c r="Z26" i="4"/>
  <c r="AA26" i="4"/>
  <c r="AB26" i="4"/>
  <c r="Y27" i="4"/>
  <c r="Z27" i="4"/>
  <c r="AA27" i="4"/>
  <c r="AB27" i="4"/>
  <c r="Y28" i="4"/>
  <c r="Z28" i="4"/>
  <c r="AA28" i="4"/>
  <c r="AB28" i="4"/>
  <c r="Y29" i="4"/>
  <c r="Z29" i="4"/>
  <c r="AA29" i="4"/>
  <c r="AB29" i="4"/>
  <c r="Y30" i="4"/>
  <c r="Z30" i="4"/>
  <c r="AA30" i="4"/>
  <c r="AB30" i="4"/>
  <c r="Y31" i="4"/>
  <c r="Z31" i="4"/>
  <c r="AA31" i="4"/>
  <c r="AB31" i="4"/>
  <c r="Y32" i="4"/>
  <c r="Z32" i="4"/>
  <c r="AA32" i="4"/>
  <c r="AB32" i="4"/>
  <c r="Y33" i="4"/>
  <c r="Z33" i="4"/>
  <c r="AA33" i="4"/>
  <c r="AB33" i="4"/>
  <c r="Y34" i="4"/>
  <c r="Z34" i="4"/>
  <c r="AA34" i="4"/>
  <c r="AB34" i="4"/>
  <c r="Y35" i="4"/>
  <c r="Z35" i="4"/>
  <c r="AA35" i="4"/>
  <c r="AB35" i="4"/>
  <c r="Y36" i="4"/>
  <c r="Z36" i="4"/>
  <c r="AA36" i="4"/>
  <c r="AB36" i="4"/>
  <c r="Y37" i="4"/>
  <c r="Z37" i="4"/>
  <c r="AA37" i="4"/>
  <c r="AB37" i="4"/>
  <c r="Y38" i="4"/>
  <c r="Z38" i="4"/>
  <c r="AA38" i="4"/>
  <c r="AB38" i="4"/>
  <c r="Y39" i="4"/>
  <c r="Z39" i="4"/>
  <c r="AA39" i="4"/>
  <c r="AB39" i="4"/>
  <c r="Y40" i="4"/>
  <c r="Z40" i="4"/>
  <c r="AA40" i="4"/>
  <c r="AB40" i="4"/>
  <c r="Y41" i="4"/>
  <c r="Z41" i="4"/>
  <c r="AA41" i="4"/>
  <c r="AB41" i="4"/>
  <c r="Y42" i="4"/>
  <c r="Z42" i="4"/>
  <c r="AA42" i="4"/>
  <c r="AB42" i="4"/>
  <c r="Y43" i="4"/>
  <c r="Z43" i="4"/>
  <c r="AA43" i="4"/>
  <c r="AB43" i="4"/>
  <c r="Y44" i="4"/>
  <c r="Z44" i="4"/>
  <c r="AA44" i="4"/>
  <c r="AB44" i="4"/>
  <c r="Y45" i="4"/>
  <c r="Z45" i="4"/>
  <c r="AA45" i="4"/>
  <c r="AB45" i="4"/>
  <c r="Y46" i="4"/>
  <c r="Z46" i="4"/>
  <c r="AA46" i="4"/>
  <c r="AB46" i="4"/>
  <c r="Y47" i="4"/>
  <c r="Z47" i="4"/>
  <c r="AA47" i="4"/>
  <c r="AB47" i="4"/>
  <c r="Y48" i="4"/>
  <c r="Z48" i="4"/>
  <c r="AA48" i="4"/>
  <c r="AB48" i="4"/>
  <c r="Y49" i="4"/>
  <c r="Z49" i="4"/>
  <c r="AA49" i="4"/>
  <c r="AB49" i="4"/>
  <c r="Y50" i="4"/>
  <c r="Z50" i="4"/>
  <c r="AA50" i="4"/>
  <c r="AB50" i="4"/>
  <c r="Y51" i="4"/>
  <c r="Z51" i="4"/>
  <c r="AA51" i="4"/>
  <c r="AB51" i="4"/>
  <c r="Y52" i="4"/>
  <c r="Z52" i="4"/>
  <c r="AA52" i="4"/>
  <c r="AB52" i="4"/>
  <c r="Y53" i="4"/>
  <c r="Z53" i="4"/>
  <c r="AA53" i="4"/>
  <c r="AB53" i="4"/>
  <c r="Y54" i="4"/>
  <c r="Z54" i="4"/>
  <c r="AA54" i="4"/>
  <c r="AB54" i="4"/>
  <c r="Y55" i="4"/>
  <c r="Z55" i="4"/>
  <c r="AA55" i="4"/>
  <c r="AB55" i="4"/>
  <c r="Y56" i="4"/>
  <c r="Z56" i="4"/>
  <c r="AA56" i="4"/>
  <c r="AB56" i="4"/>
  <c r="Y57" i="4"/>
  <c r="Z57" i="4"/>
  <c r="AA57" i="4"/>
  <c r="AB57" i="4"/>
  <c r="Y58" i="4"/>
  <c r="Z58" i="4"/>
  <c r="AA58" i="4"/>
  <c r="AB58" i="4"/>
  <c r="Y59" i="4"/>
  <c r="Z59" i="4"/>
  <c r="AA59" i="4"/>
  <c r="AB59" i="4"/>
  <c r="Y60" i="4"/>
  <c r="Z60" i="4"/>
  <c r="AA60" i="4"/>
  <c r="AB60" i="4"/>
  <c r="Y61" i="4"/>
  <c r="Z61" i="4"/>
  <c r="AA61" i="4"/>
  <c r="AB61" i="4"/>
  <c r="Y62" i="4"/>
  <c r="Z62" i="4"/>
  <c r="AA62" i="4"/>
  <c r="AB62" i="4"/>
  <c r="Y63" i="4"/>
  <c r="Z63" i="4"/>
  <c r="AA63" i="4"/>
  <c r="AB63" i="4"/>
  <c r="Y64" i="4"/>
  <c r="Z64" i="4"/>
  <c r="AA64" i="4"/>
  <c r="AB64" i="4"/>
  <c r="Y65" i="4"/>
  <c r="Z65" i="4"/>
  <c r="AA65" i="4"/>
  <c r="AB65" i="4"/>
  <c r="Y66" i="4"/>
  <c r="Z66" i="4"/>
  <c r="AA66" i="4"/>
  <c r="AB66" i="4"/>
  <c r="Y67" i="4"/>
  <c r="Z67" i="4"/>
  <c r="AA67" i="4"/>
  <c r="AB67" i="4"/>
  <c r="Y68" i="4"/>
  <c r="Z68" i="4"/>
  <c r="AA68" i="4"/>
  <c r="AB68" i="4"/>
  <c r="Y69" i="4"/>
  <c r="Z69" i="4"/>
  <c r="AA69" i="4"/>
  <c r="AB69" i="4"/>
  <c r="Y70" i="4"/>
  <c r="Z70" i="4"/>
  <c r="AA70" i="4"/>
  <c r="AB70" i="4"/>
  <c r="Y71" i="4"/>
  <c r="Z71" i="4"/>
  <c r="AA71" i="4"/>
  <c r="AB71" i="4"/>
  <c r="Y72" i="4"/>
  <c r="Z72" i="4"/>
  <c r="AA72" i="4"/>
  <c r="AB72" i="4"/>
  <c r="Y73" i="4"/>
  <c r="Z73" i="4"/>
  <c r="AA73" i="4"/>
  <c r="AB73" i="4"/>
  <c r="Y74" i="4"/>
  <c r="Z74" i="4"/>
  <c r="AA74" i="4"/>
  <c r="AB74" i="4"/>
  <c r="Y75" i="4"/>
  <c r="Z75" i="4"/>
  <c r="AA75" i="4"/>
  <c r="AB75" i="4"/>
  <c r="Y76" i="4"/>
  <c r="Z76" i="4"/>
  <c r="AA76" i="4"/>
  <c r="AB76" i="4"/>
  <c r="Y77" i="4"/>
  <c r="Z77" i="4"/>
  <c r="AA77" i="4"/>
  <c r="AB77" i="4"/>
  <c r="Y78" i="4"/>
  <c r="Z78" i="4"/>
  <c r="AA78" i="4"/>
  <c r="AB78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20" i="4"/>
  <c r="AB18" i="4"/>
  <c r="Y18" i="4"/>
  <c r="Z18" i="4"/>
  <c r="AA18" i="4"/>
  <c r="X18" i="4"/>
  <c r="N16" i="4"/>
  <c r="H8" i="4" l="1"/>
  <c r="H9" i="4" s="1"/>
  <c r="H11" i="4" s="1"/>
  <c r="C33" i="3" l="1"/>
  <c r="E29" i="3"/>
  <c r="L16" i="3"/>
  <c r="C89" i="3"/>
  <c r="C83" i="3"/>
  <c r="C82" i="3"/>
  <c r="B53" i="3"/>
  <c r="B75" i="3"/>
  <c r="B73" i="3"/>
  <c r="B72" i="3"/>
  <c r="B71" i="3"/>
  <c r="B70" i="3"/>
  <c r="B69" i="3"/>
  <c r="B68" i="3"/>
  <c r="B65" i="3"/>
  <c r="B64" i="3"/>
  <c r="B62" i="3"/>
  <c r="B61" i="3"/>
  <c r="B60" i="3"/>
  <c r="B59" i="3"/>
  <c r="B54" i="3"/>
  <c r="B51" i="3"/>
  <c r="B46" i="3"/>
  <c r="B45" i="3"/>
  <c r="B40" i="3"/>
  <c r="B39" i="3"/>
  <c r="B38" i="3"/>
  <c r="B36" i="3"/>
  <c r="E30" i="3"/>
  <c r="B33" i="3"/>
  <c r="B32" i="3"/>
  <c r="B31" i="3"/>
  <c r="B29" i="3"/>
  <c r="L25" i="3"/>
  <c r="D24" i="3"/>
  <c r="E24" i="3"/>
  <c r="F24" i="3"/>
  <c r="G24" i="3"/>
  <c r="H24" i="3"/>
  <c r="I24" i="3"/>
  <c r="J24" i="3"/>
  <c r="K24" i="3"/>
  <c r="C24" i="3"/>
  <c r="D23" i="3"/>
  <c r="E23" i="3"/>
  <c r="F23" i="3"/>
  <c r="G23" i="3"/>
  <c r="H23" i="3"/>
  <c r="I23" i="3"/>
  <c r="J23" i="3"/>
  <c r="K23" i="3"/>
  <c r="C23" i="3"/>
  <c r="D22" i="3"/>
  <c r="E22" i="3"/>
  <c r="F22" i="3"/>
  <c r="L22" i="3" s="1"/>
  <c r="G22" i="3"/>
  <c r="H22" i="3"/>
  <c r="I22" i="3"/>
  <c r="J22" i="3"/>
  <c r="K22" i="3"/>
  <c r="C22" i="3"/>
  <c r="D21" i="3"/>
  <c r="E21" i="3"/>
  <c r="F21" i="3"/>
  <c r="G21" i="3"/>
  <c r="H21" i="3"/>
  <c r="I21" i="3"/>
  <c r="J21" i="3"/>
  <c r="K21" i="3"/>
  <c r="C21" i="3"/>
  <c r="L23" i="3"/>
  <c r="L24" i="3"/>
  <c r="L20" i="3"/>
  <c r="D20" i="3"/>
  <c r="E20" i="3"/>
  <c r="F20" i="3"/>
  <c r="G20" i="3"/>
  <c r="H20" i="3"/>
  <c r="I20" i="3"/>
  <c r="J20" i="3"/>
  <c r="K20" i="3"/>
  <c r="C20" i="3"/>
  <c r="C16" i="3"/>
  <c r="D16" i="3"/>
  <c r="E16" i="3"/>
  <c r="F16" i="3"/>
  <c r="G16" i="3"/>
  <c r="H16" i="3"/>
  <c r="I16" i="3"/>
  <c r="J16" i="3"/>
  <c r="K16" i="3"/>
  <c r="B16" i="3"/>
  <c r="C15" i="3"/>
  <c r="D15" i="3"/>
  <c r="E15" i="3"/>
  <c r="F15" i="3"/>
  <c r="G15" i="3"/>
  <c r="H15" i="3"/>
  <c r="I15" i="3"/>
  <c r="J15" i="3"/>
  <c r="K15" i="3"/>
  <c r="B15" i="3"/>
  <c r="C14" i="3"/>
  <c r="D14" i="3"/>
  <c r="E14" i="3"/>
  <c r="F14" i="3"/>
  <c r="G14" i="3"/>
  <c r="H14" i="3"/>
  <c r="I14" i="3"/>
  <c r="J14" i="3"/>
  <c r="K14" i="3"/>
  <c r="B14" i="3"/>
  <c r="C13" i="3"/>
  <c r="D13" i="3"/>
  <c r="E13" i="3"/>
  <c r="F13" i="3"/>
  <c r="G13" i="3"/>
  <c r="H13" i="3"/>
  <c r="I13" i="3"/>
  <c r="J13" i="3"/>
  <c r="K13" i="3"/>
  <c r="B13" i="3"/>
  <c r="C12" i="3"/>
  <c r="D12" i="3"/>
  <c r="E12" i="3"/>
  <c r="F12" i="3"/>
  <c r="G12" i="3"/>
  <c r="H12" i="3"/>
  <c r="I12" i="3"/>
  <c r="J12" i="3"/>
  <c r="K12" i="3"/>
  <c r="B12" i="3"/>
  <c r="D10" i="3"/>
  <c r="E10" i="3" s="1"/>
  <c r="F10" i="3" s="1"/>
  <c r="G10" i="3" s="1"/>
  <c r="H10" i="3" s="1"/>
  <c r="I10" i="3" s="1"/>
  <c r="J10" i="3" s="1"/>
  <c r="K10" i="3" s="1"/>
  <c r="C10" i="3"/>
  <c r="C11" i="3"/>
  <c r="D11" i="3"/>
  <c r="E11" i="3"/>
  <c r="F11" i="3"/>
  <c r="G11" i="3"/>
  <c r="H11" i="3"/>
  <c r="I11" i="3"/>
  <c r="J11" i="3"/>
  <c r="K11" i="3"/>
  <c r="B11" i="3"/>
  <c r="B6" i="3"/>
  <c r="G4" i="1"/>
  <c r="G6" i="1" s="1"/>
  <c r="V21" i="1" a="1"/>
  <c r="V21" i="1" s="1"/>
  <c r="N20" i="1"/>
  <c r="G3" i="1" s="1"/>
  <c r="G5" i="1" s="1"/>
  <c r="K4" i="1" s="1"/>
  <c r="B5" i="3" s="1"/>
  <c r="N21" i="1"/>
  <c r="V40" i="1" s="1" a="1"/>
  <c r="V40" i="1" s="1"/>
  <c r="N22" i="1"/>
  <c r="V41" i="1" s="1" a="1"/>
  <c r="V41" i="1" s="1"/>
  <c r="N23" i="1"/>
  <c r="V42" i="1" s="1" a="1"/>
  <c r="V42" i="1" s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V27" i="1" l="1" a="1"/>
  <c r="V27" i="1" s="1"/>
  <c r="G8" i="1"/>
  <c r="G9" i="1" s="1"/>
  <c r="G11" i="1" s="1"/>
  <c r="V26" i="1" a="1"/>
  <c r="V26" i="1" s="1"/>
  <c r="V24" i="1" a="1"/>
  <c r="V24" i="1" s="1"/>
  <c r="V58" i="1" a="1"/>
  <c r="V58" i="1" s="1"/>
  <c r="V34" i="1" a="1"/>
  <c r="V34" i="1" s="1"/>
  <c r="V57" i="1" a="1"/>
  <c r="V57" i="1" s="1"/>
  <c r="V33" i="1" a="1"/>
  <c r="V33" i="1" s="1"/>
  <c r="V56" i="1" a="1"/>
  <c r="V56" i="1" s="1"/>
  <c r="V32" i="1" a="1"/>
  <c r="V32" i="1" s="1"/>
  <c r="V71" i="1" a="1"/>
  <c r="V71" i="1" s="1"/>
  <c r="V63" i="1" a="1"/>
  <c r="V63" i="1" s="1"/>
  <c r="V55" i="1" a="1"/>
  <c r="V55" i="1" s="1"/>
  <c r="V47" i="1" a="1"/>
  <c r="V47" i="1" s="1"/>
  <c r="V39" i="1" a="1"/>
  <c r="V39" i="1" s="1"/>
  <c r="V31" i="1" a="1"/>
  <c r="V31" i="1" s="1"/>
  <c r="V78" i="1" a="1"/>
  <c r="V78" i="1" s="1"/>
  <c r="G7" i="1" s="1"/>
  <c r="V70" i="1" a="1"/>
  <c r="V70" i="1" s="1"/>
  <c r="V62" i="1" a="1"/>
  <c r="V62" i="1" s="1"/>
  <c r="V54" i="1" a="1"/>
  <c r="V54" i="1" s="1"/>
  <c r="V46" i="1" a="1"/>
  <c r="V46" i="1" s="1"/>
  <c r="V38" i="1" a="1"/>
  <c r="V38" i="1" s="1"/>
  <c r="V30" i="1" a="1"/>
  <c r="V30" i="1" s="1"/>
  <c r="V23" i="1" a="1"/>
  <c r="V23" i="1" s="1"/>
  <c r="V74" i="1" a="1"/>
  <c r="V74" i="1" s="1"/>
  <c r="V50" i="1" a="1"/>
  <c r="V50" i="1" s="1"/>
  <c r="V73" i="1" a="1"/>
  <c r="V73" i="1" s="1"/>
  <c r="V49" i="1" a="1"/>
  <c r="V49" i="1" s="1"/>
  <c r="V72" i="1" a="1"/>
  <c r="V72" i="1" s="1"/>
  <c r="V48" i="1" a="1"/>
  <c r="V48" i="1" s="1"/>
  <c r="V25" i="1" a="1"/>
  <c r="V25" i="1" s="1"/>
  <c r="V77" i="1" a="1"/>
  <c r="V77" i="1" s="1"/>
  <c r="V69" i="1" a="1"/>
  <c r="V69" i="1" s="1"/>
  <c r="V61" i="1" a="1"/>
  <c r="V61" i="1" s="1"/>
  <c r="V53" i="1" a="1"/>
  <c r="V53" i="1" s="1"/>
  <c r="V45" i="1" a="1"/>
  <c r="V45" i="1" s="1"/>
  <c r="V37" i="1" a="1"/>
  <c r="V37" i="1" s="1"/>
  <c r="V29" i="1" a="1"/>
  <c r="V29" i="1" s="1"/>
  <c r="V22" i="1" a="1"/>
  <c r="V22" i="1" s="1"/>
  <c r="V66" i="1" a="1"/>
  <c r="V66" i="1" s="1"/>
  <c r="V65" i="1" a="1"/>
  <c r="V65" i="1" s="1"/>
  <c r="V64" i="1" a="1"/>
  <c r="V64" i="1" s="1"/>
  <c r="V76" i="1" a="1"/>
  <c r="V76" i="1" s="1"/>
  <c r="V68" i="1" a="1"/>
  <c r="V68" i="1" s="1"/>
  <c r="V60" i="1" a="1"/>
  <c r="V60" i="1" s="1"/>
  <c r="V52" i="1" a="1"/>
  <c r="V52" i="1" s="1"/>
  <c r="V44" i="1" a="1"/>
  <c r="V44" i="1" s="1"/>
  <c r="V36" i="1" a="1"/>
  <c r="V36" i="1" s="1"/>
  <c r="V75" i="1" a="1"/>
  <c r="V75" i="1" s="1"/>
  <c r="V67" i="1" a="1"/>
  <c r="V67" i="1" s="1"/>
  <c r="V59" i="1" a="1"/>
  <c r="V59" i="1" s="1"/>
  <c r="V51" i="1" a="1"/>
  <c r="V51" i="1" s="1"/>
  <c r="V43" i="1" a="1"/>
  <c r="V43" i="1" s="1"/>
  <c r="V35" i="1" a="1"/>
  <c r="V35" i="1" s="1"/>
  <c r="V28" i="1" a="1"/>
  <c r="V28" i="1" s="1"/>
  <c r="L21" i="3"/>
  <c r="B87" i="3"/>
  <c r="K19" i="3"/>
  <c r="J19" i="3"/>
  <c r="I19" i="3"/>
  <c r="H19" i="3"/>
  <c r="G19" i="3"/>
  <c r="F19" i="3"/>
  <c r="E19" i="3"/>
  <c r="D19" i="3"/>
  <c r="C19" i="3"/>
  <c r="F4" i="1" l="1"/>
  <c r="F6" i="1" s="1"/>
  <c r="U60" i="1" a="1"/>
  <c r="U60" i="1" s="1"/>
  <c r="M20" i="1"/>
  <c r="F3" i="1" s="1"/>
  <c r="F5" i="1" s="1"/>
  <c r="B4" i="3" s="1"/>
  <c r="B43" i="3" s="1"/>
  <c r="M21" i="1"/>
  <c r="U73" i="1" s="1" a="1"/>
  <c r="U73" i="1" s="1"/>
  <c r="M22" i="1"/>
  <c r="U74" i="1" s="1" a="1"/>
  <c r="U74" i="1" s="1"/>
  <c r="M23" i="1"/>
  <c r="U37" i="1" s="1" a="1"/>
  <c r="U37" i="1" s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R18" i="1"/>
  <c r="C4" i="1"/>
  <c r="C6" i="1" s="1"/>
  <c r="D4" i="1"/>
  <c r="D6" i="1" s="1"/>
  <c r="E4" i="1"/>
  <c r="E6" i="1" s="1"/>
  <c r="B4" i="1"/>
  <c r="B6" i="1" s="1"/>
  <c r="C2" i="1"/>
  <c r="D2" i="1"/>
  <c r="E2" i="1"/>
  <c r="B2" i="1"/>
  <c r="J18" i="1"/>
  <c r="K18" i="1"/>
  <c r="S18" i="1" s="1"/>
  <c r="L18" i="1"/>
  <c r="T18" i="1" s="1"/>
  <c r="I18" i="1"/>
  <c r="Q18" i="1" s="1"/>
  <c r="U67" i="1" l="1" a="1"/>
  <c r="U67" i="1" s="1"/>
  <c r="U59" i="1" a="1"/>
  <c r="U59" i="1" s="1"/>
  <c r="U51" i="1" a="1"/>
  <c r="U51" i="1" s="1"/>
  <c r="U43" i="1" a="1"/>
  <c r="U43" i="1" s="1"/>
  <c r="U36" i="1" a="1"/>
  <c r="U36" i="1" s="1"/>
  <c r="U30" i="1" a="1"/>
  <c r="U30" i="1" s="1"/>
  <c r="U23" i="1" a="1"/>
  <c r="U23" i="1" s="1"/>
  <c r="U44" i="1" a="1"/>
  <c r="U44" i="1" s="1"/>
  <c r="U66" i="1" a="1"/>
  <c r="U66" i="1" s="1"/>
  <c r="U58" i="1" a="1"/>
  <c r="U58" i="1" s="1"/>
  <c r="U50" i="1" a="1"/>
  <c r="U50" i="1" s="1"/>
  <c r="U42" i="1" a="1"/>
  <c r="U42" i="1" s="1"/>
  <c r="U29" i="1" a="1"/>
  <c r="U29" i="1" s="1"/>
  <c r="U22" i="1" a="1"/>
  <c r="U22" i="1" s="1"/>
  <c r="U72" i="1" a="1"/>
  <c r="U72" i="1" s="1"/>
  <c r="U65" i="1" a="1"/>
  <c r="U65" i="1" s="1"/>
  <c r="U57" i="1" a="1"/>
  <c r="U57" i="1" s="1"/>
  <c r="U49" i="1" a="1"/>
  <c r="U49" i="1" s="1"/>
  <c r="U41" i="1" a="1"/>
  <c r="U41" i="1" s="1"/>
  <c r="U35" i="1" a="1"/>
  <c r="U35" i="1" s="1"/>
  <c r="U28" i="1" a="1"/>
  <c r="U28" i="1" s="1"/>
  <c r="U21" i="1" a="1"/>
  <c r="U21" i="1" s="1"/>
  <c r="U52" i="1" a="1"/>
  <c r="U52" i="1" s="1"/>
  <c r="U71" i="1" a="1"/>
  <c r="U71" i="1" s="1"/>
  <c r="U64" i="1" a="1"/>
  <c r="U64" i="1" s="1"/>
  <c r="U56" i="1" a="1"/>
  <c r="U56" i="1" s="1"/>
  <c r="U48" i="1" a="1"/>
  <c r="U48" i="1" s="1"/>
  <c r="U40" i="1" a="1"/>
  <c r="U40" i="1" s="1"/>
  <c r="F8" i="1"/>
  <c r="F9" i="1" s="1"/>
  <c r="F11" i="1" s="1"/>
  <c r="U24" i="1" a="1"/>
  <c r="U24" i="1" s="1"/>
  <c r="U78" i="1" a="1"/>
  <c r="U78" i="1" s="1"/>
  <c r="F7" i="1" s="1"/>
  <c r="U70" i="1" a="1"/>
  <c r="U70" i="1" s="1"/>
  <c r="U63" i="1" a="1"/>
  <c r="U63" i="1" s="1"/>
  <c r="U55" i="1" a="1"/>
  <c r="U55" i="1" s="1"/>
  <c r="U47" i="1" a="1"/>
  <c r="U47" i="1" s="1"/>
  <c r="U34" i="1" a="1"/>
  <c r="U34" i="1" s="1"/>
  <c r="U27" i="1" a="1"/>
  <c r="U27" i="1" s="1"/>
  <c r="U75" i="1" a="1"/>
  <c r="U75" i="1" s="1"/>
  <c r="U31" i="1" a="1"/>
  <c r="U31" i="1" s="1"/>
  <c r="U69" i="1" a="1"/>
  <c r="U69" i="1" s="1"/>
  <c r="U54" i="1" a="1"/>
  <c r="U54" i="1" s="1"/>
  <c r="U39" i="1" a="1"/>
  <c r="U39" i="1" s="1"/>
  <c r="U33" i="1" a="1"/>
  <c r="U33" i="1" s="1"/>
  <c r="U26" i="1" a="1"/>
  <c r="U26" i="1" s="1"/>
  <c r="U77" i="1" a="1"/>
  <c r="U77" i="1" s="1"/>
  <c r="U62" i="1" a="1"/>
  <c r="U62" i="1" s="1"/>
  <c r="U46" i="1" a="1"/>
  <c r="U46" i="1" s="1"/>
  <c r="U76" i="1" a="1"/>
  <c r="U76" i="1" s="1"/>
  <c r="U68" i="1" a="1"/>
  <c r="U68" i="1" s="1"/>
  <c r="U61" i="1" a="1"/>
  <c r="U61" i="1" s="1"/>
  <c r="U53" i="1" a="1"/>
  <c r="U53" i="1" s="1"/>
  <c r="U45" i="1" a="1"/>
  <c r="U45" i="1" s="1"/>
  <c r="U38" i="1" a="1"/>
  <c r="U38" i="1" s="1"/>
  <c r="U32" i="1" a="1"/>
  <c r="U32" i="1" s="1"/>
  <c r="U25" i="1" a="1"/>
  <c r="U25" i="1" s="1"/>
  <c r="B47" i="3"/>
  <c r="C84" i="3" s="1"/>
  <c r="B50" i="3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20" i="1"/>
  <c r="B52" i="3" l="1"/>
  <c r="B55" i="3" s="1"/>
  <c r="B56" i="3" s="1"/>
  <c r="C85" i="3" s="1"/>
  <c r="B63" i="3"/>
  <c r="B66" i="3" s="1"/>
  <c r="B76" i="3" s="1"/>
  <c r="B77" i="3" s="1"/>
  <c r="C86" i="3" s="1"/>
  <c r="S25" i="1" a="1"/>
  <c r="S25" i="1" s="1"/>
  <c r="S30" i="1" a="1"/>
  <c r="S30" i="1" s="1"/>
  <c r="S35" i="1" a="1"/>
  <c r="S35" i="1" s="1"/>
  <c r="S55" i="1" a="1"/>
  <c r="S55" i="1" s="1"/>
  <c r="S65" i="1" a="1"/>
  <c r="S65" i="1" s="1"/>
  <c r="S70" i="1" a="1"/>
  <c r="S70" i="1" s="1"/>
  <c r="D3" i="1"/>
  <c r="D5" i="1" s="1"/>
  <c r="S33" i="1" a="1"/>
  <c r="S33" i="1" s="1"/>
  <c r="S46" i="1" a="1"/>
  <c r="S46" i="1" s="1"/>
  <c r="S51" i="1" a="1"/>
  <c r="S51" i="1" s="1"/>
  <c r="S71" i="1" a="1"/>
  <c r="S71" i="1" s="1"/>
  <c r="S59" i="1" a="1"/>
  <c r="S59" i="1" s="1"/>
  <c r="D8" i="1"/>
  <c r="D9" i="1" s="1"/>
  <c r="S38" i="1" a="1"/>
  <c r="S38" i="1" s="1"/>
  <c r="S43" i="1" a="1"/>
  <c r="S43" i="1" s="1"/>
  <c r="S48" i="1" a="1"/>
  <c r="S48" i="1" s="1"/>
  <c r="S53" i="1" a="1"/>
  <c r="S53" i="1" s="1"/>
  <c r="S58" i="1" a="1"/>
  <c r="S58" i="1" s="1"/>
  <c r="S63" i="1" a="1"/>
  <c r="S63" i="1" s="1"/>
  <c r="S68" i="1" a="1"/>
  <c r="S68" i="1" s="1"/>
  <c r="S73" i="1" a="1"/>
  <c r="S73" i="1" s="1"/>
  <c r="S78" i="1" a="1"/>
  <c r="S78" i="1" s="1"/>
  <c r="D7" i="1" s="1"/>
  <c r="S28" i="1" a="1"/>
  <c r="S28" i="1" s="1"/>
  <c r="S61" i="1" a="1"/>
  <c r="S61" i="1" s="1"/>
  <c r="S76" i="1" a="1"/>
  <c r="S76" i="1" s="1"/>
  <c r="S23" i="1" a="1"/>
  <c r="S23" i="1" s="1"/>
  <c r="S41" i="1" a="1"/>
  <c r="S41" i="1" s="1"/>
  <c r="S74" i="1" a="1"/>
  <c r="S74" i="1" s="1"/>
  <c r="S31" i="1" a="1"/>
  <c r="S31" i="1" s="1"/>
  <c r="S36" i="1" a="1"/>
  <c r="S36" i="1" s="1"/>
  <c r="S21" i="1" a="1"/>
  <c r="S21" i="1" s="1"/>
  <c r="S26" i="1" a="1"/>
  <c r="S26" i="1" s="1"/>
  <c r="S39" i="1" a="1"/>
  <c r="S39" i="1" s="1"/>
  <c r="S44" i="1" a="1"/>
  <c r="S44" i="1" s="1"/>
  <c r="S49" i="1" a="1"/>
  <c r="S49" i="1" s="1"/>
  <c r="S69" i="1" a="1"/>
  <c r="S69" i="1" s="1"/>
  <c r="S32" i="1" a="1"/>
  <c r="S32" i="1" s="1"/>
  <c r="S37" i="1" a="1"/>
  <c r="S37" i="1" s="1"/>
  <c r="S42" i="1" a="1"/>
  <c r="S42" i="1" s="1"/>
  <c r="S52" i="1" a="1"/>
  <c r="S52" i="1" s="1"/>
  <c r="S57" i="1" a="1"/>
  <c r="S57" i="1" s="1"/>
  <c r="S62" i="1" a="1"/>
  <c r="S62" i="1" s="1"/>
  <c r="S67" i="1" a="1"/>
  <c r="S67" i="1" s="1"/>
  <c r="S72" i="1" a="1"/>
  <c r="S72" i="1" s="1"/>
  <c r="S77" i="1" a="1"/>
  <c r="S77" i="1" s="1"/>
  <c r="S22" i="1" a="1"/>
  <c r="S22" i="1" s="1"/>
  <c r="S27" i="1" a="1"/>
  <c r="S27" i="1" s="1"/>
  <c r="S40" i="1" a="1"/>
  <c r="S40" i="1" s="1"/>
  <c r="S45" i="1" a="1"/>
  <c r="S45" i="1" s="1"/>
  <c r="S50" i="1" a="1"/>
  <c r="S50" i="1" s="1"/>
  <c r="S60" i="1" a="1"/>
  <c r="S60" i="1" s="1"/>
  <c r="S75" i="1" a="1"/>
  <c r="S75" i="1" s="1"/>
  <c r="S56" i="1" a="1"/>
  <c r="S56" i="1" s="1"/>
  <c r="S66" i="1" a="1"/>
  <c r="S66" i="1" s="1"/>
  <c r="S24" i="1" a="1"/>
  <c r="S24" i="1" s="1"/>
  <c r="S29" i="1" a="1"/>
  <c r="S29" i="1" s="1"/>
  <c r="S34" i="1" a="1"/>
  <c r="S34" i="1" s="1"/>
  <c r="S47" i="1" a="1"/>
  <c r="S47" i="1" s="1"/>
  <c r="S54" i="1" a="1"/>
  <c r="S54" i="1" s="1"/>
  <c r="S64" i="1" a="1"/>
  <c r="S64" i="1" s="1"/>
  <c r="R38" i="1" a="1"/>
  <c r="R38" i="1" s="1"/>
  <c r="R43" i="1" a="1"/>
  <c r="R43" i="1" s="1"/>
  <c r="R48" i="1" a="1"/>
  <c r="R48" i="1" s="1"/>
  <c r="R53" i="1" a="1"/>
  <c r="R53" i="1" s="1"/>
  <c r="R58" i="1" a="1"/>
  <c r="R58" i="1" s="1"/>
  <c r="R63" i="1" a="1"/>
  <c r="R63" i="1" s="1"/>
  <c r="R68" i="1" a="1"/>
  <c r="R68" i="1" s="1"/>
  <c r="R73" i="1" a="1"/>
  <c r="R73" i="1" s="1"/>
  <c r="R78" i="1" a="1"/>
  <c r="R78" i="1" s="1"/>
  <c r="C7" i="1" s="1"/>
  <c r="R66" i="1" a="1"/>
  <c r="R66" i="1" s="1"/>
  <c r="R71" i="1" a="1"/>
  <c r="R71" i="1" s="1"/>
  <c r="R69" i="1" a="1"/>
  <c r="R69" i="1" s="1"/>
  <c r="R23" i="1" a="1"/>
  <c r="R23" i="1" s="1"/>
  <c r="R28" i="1" a="1"/>
  <c r="R28" i="1" s="1"/>
  <c r="R33" i="1" a="1"/>
  <c r="R33" i="1" s="1"/>
  <c r="R41" i="1" a="1"/>
  <c r="R41" i="1" s="1"/>
  <c r="R46" i="1" a="1"/>
  <c r="R46" i="1" s="1"/>
  <c r="R51" i="1" a="1"/>
  <c r="R51" i="1" s="1"/>
  <c r="R61" i="1" a="1"/>
  <c r="R61" i="1" s="1"/>
  <c r="R36" i="1" a="1"/>
  <c r="R36" i="1" s="1"/>
  <c r="C8" i="1"/>
  <c r="C9" i="1" s="1"/>
  <c r="R31" i="1" a="1"/>
  <c r="R31" i="1" s="1"/>
  <c r="R56" i="1" a="1"/>
  <c r="R56" i="1" s="1"/>
  <c r="R74" i="1" a="1"/>
  <c r="R74" i="1" s="1"/>
  <c r="R21" i="1" a="1"/>
  <c r="R21" i="1" s="1"/>
  <c r="R26" i="1" a="1"/>
  <c r="R26" i="1" s="1"/>
  <c r="R39" i="1" a="1"/>
  <c r="R39" i="1" s="1"/>
  <c r="R44" i="1" a="1"/>
  <c r="R44" i="1" s="1"/>
  <c r="R49" i="1" a="1"/>
  <c r="R49" i="1" s="1"/>
  <c r="R54" i="1" a="1"/>
  <c r="R54" i="1" s="1"/>
  <c r="R59" i="1" a="1"/>
  <c r="R59" i="1" s="1"/>
  <c r="R24" i="1" a="1"/>
  <c r="R24" i="1" s="1"/>
  <c r="R29" i="1" a="1"/>
  <c r="R29" i="1" s="1"/>
  <c r="R34" i="1" a="1"/>
  <c r="R34" i="1" s="1"/>
  <c r="R42" i="1" a="1"/>
  <c r="R42" i="1" s="1"/>
  <c r="R47" i="1" a="1"/>
  <c r="R47" i="1" s="1"/>
  <c r="R64" i="1" a="1"/>
  <c r="R64" i="1" s="1"/>
  <c r="R22" i="1" a="1"/>
  <c r="R22" i="1" s="1"/>
  <c r="R27" i="1" a="1"/>
  <c r="R27" i="1" s="1"/>
  <c r="R40" i="1" a="1"/>
  <c r="R40" i="1" s="1"/>
  <c r="R45" i="1" a="1"/>
  <c r="R45" i="1" s="1"/>
  <c r="R50" i="1" a="1"/>
  <c r="R50" i="1" s="1"/>
  <c r="R60" i="1" a="1"/>
  <c r="R60" i="1" s="1"/>
  <c r="R75" i="1" a="1"/>
  <c r="R75" i="1" s="1"/>
  <c r="R25" i="1" a="1"/>
  <c r="R25" i="1" s="1"/>
  <c r="R30" i="1" a="1"/>
  <c r="R30" i="1" s="1"/>
  <c r="R35" i="1" a="1"/>
  <c r="R35" i="1" s="1"/>
  <c r="R55" i="1" a="1"/>
  <c r="R55" i="1" s="1"/>
  <c r="R65" i="1" a="1"/>
  <c r="R65" i="1" s="1"/>
  <c r="R70" i="1" a="1"/>
  <c r="R70" i="1" s="1"/>
  <c r="C3" i="1"/>
  <c r="C5" i="1" s="1"/>
  <c r="C11" i="1" s="1"/>
  <c r="R76" i="1" a="1"/>
  <c r="R76" i="1" s="1"/>
  <c r="R62" i="1" a="1"/>
  <c r="R62" i="1" s="1"/>
  <c r="R32" i="1" a="1"/>
  <c r="R32" i="1" s="1"/>
  <c r="R37" i="1" a="1"/>
  <c r="R37" i="1" s="1"/>
  <c r="R52" i="1" a="1"/>
  <c r="R52" i="1" s="1"/>
  <c r="R57" i="1" a="1"/>
  <c r="R57" i="1" s="1"/>
  <c r="R67" i="1" a="1"/>
  <c r="R67" i="1" s="1"/>
  <c r="R72" i="1" a="1"/>
  <c r="R72" i="1" s="1"/>
  <c r="R77" i="1" a="1"/>
  <c r="R77" i="1" s="1"/>
  <c r="T22" i="1" a="1"/>
  <c r="T22" i="1" s="1"/>
  <c r="T27" i="1" a="1"/>
  <c r="T27" i="1" s="1"/>
  <c r="T40" i="1" a="1"/>
  <c r="T40" i="1" s="1"/>
  <c r="T45" i="1" a="1"/>
  <c r="T45" i="1" s="1"/>
  <c r="T50" i="1" a="1"/>
  <c r="T50" i="1" s="1"/>
  <c r="T60" i="1" a="1"/>
  <c r="T60" i="1" s="1"/>
  <c r="T25" i="1" a="1"/>
  <c r="T25" i="1" s="1"/>
  <c r="T38" i="1" a="1"/>
  <c r="T38" i="1" s="1"/>
  <c r="T58" i="1" a="1"/>
  <c r="T58" i="1" s="1"/>
  <c r="T78" i="1" a="1"/>
  <c r="T78" i="1" s="1"/>
  <c r="E7" i="1" s="1"/>
  <c r="T61" i="1" a="1"/>
  <c r="T61" i="1" s="1"/>
  <c r="T76" i="1" a="1"/>
  <c r="T76" i="1" s="1"/>
  <c r="T30" i="1" a="1"/>
  <c r="T30" i="1" s="1"/>
  <c r="T35" i="1" a="1"/>
  <c r="T35" i="1" s="1"/>
  <c r="T55" i="1" a="1"/>
  <c r="T55" i="1" s="1"/>
  <c r="T65" i="1" a="1"/>
  <c r="T65" i="1" s="1"/>
  <c r="T70" i="1" a="1"/>
  <c r="T70" i="1" s="1"/>
  <c r="T75" i="1" a="1"/>
  <c r="T75" i="1" s="1"/>
  <c r="E3" i="1"/>
  <c r="E5" i="1" s="1"/>
  <c r="T43" i="1" a="1"/>
  <c r="T43" i="1" s="1"/>
  <c r="T48" i="1" a="1"/>
  <c r="T48" i="1" s="1"/>
  <c r="T53" i="1" a="1"/>
  <c r="T53" i="1" s="1"/>
  <c r="T68" i="1" a="1"/>
  <c r="T68" i="1" s="1"/>
  <c r="T73" i="1" a="1"/>
  <c r="T73" i="1" s="1"/>
  <c r="T63" i="1" a="1"/>
  <c r="T63" i="1" s="1"/>
  <c r="T23" i="1" a="1"/>
  <c r="T23" i="1" s="1"/>
  <c r="T28" i="1" a="1"/>
  <c r="T28" i="1" s="1"/>
  <c r="T33" i="1" a="1"/>
  <c r="T33" i="1" s="1"/>
  <c r="T41" i="1" a="1"/>
  <c r="T41" i="1" s="1"/>
  <c r="T46" i="1" a="1"/>
  <c r="T46" i="1" s="1"/>
  <c r="T66" i="1" a="1"/>
  <c r="T66" i="1" s="1"/>
  <c r="T31" i="1" a="1"/>
  <c r="T31" i="1" s="1"/>
  <c r="T36" i="1" a="1"/>
  <c r="T36" i="1" s="1"/>
  <c r="T51" i="1" a="1"/>
  <c r="T51" i="1" s="1"/>
  <c r="T56" i="1" a="1"/>
  <c r="T56" i="1" s="1"/>
  <c r="T21" i="1" a="1"/>
  <c r="T21" i="1" s="1"/>
  <c r="T59" i="1" a="1"/>
  <c r="T59" i="1" s="1"/>
  <c r="T74" i="1" a="1"/>
  <c r="T74" i="1" s="1"/>
  <c r="E8" i="1"/>
  <c r="E9" i="1" s="1"/>
  <c r="T24" i="1" a="1"/>
  <c r="T24" i="1" s="1"/>
  <c r="T29" i="1" a="1"/>
  <c r="T29" i="1" s="1"/>
  <c r="T34" i="1" a="1"/>
  <c r="T34" i="1" s="1"/>
  <c r="T54" i="1" a="1"/>
  <c r="T54" i="1" s="1"/>
  <c r="T64" i="1" a="1"/>
  <c r="T64" i="1" s="1"/>
  <c r="T69" i="1" a="1"/>
  <c r="T69" i="1" s="1"/>
  <c r="T32" i="1" a="1"/>
  <c r="T32" i="1" s="1"/>
  <c r="T37" i="1" a="1"/>
  <c r="T37" i="1" s="1"/>
  <c r="T42" i="1" a="1"/>
  <c r="T42" i="1" s="1"/>
  <c r="T47" i="1" a="1"/>
  <c r="T47" i="1" s="1"/>
  <c r="T52" i="1" a="1"/>
  <c r="T52" i="1" s="1"/>
  <c r="T57" i="1" a="1"/>
  <c r="T57" i="1" s="1"/>
  <c r="T62" i="1" a="1"/>
  <c r="T62" i="1" s="1"/>
  <c r="T67" i="1" a="1"/>
  <c r="T67" i="1" s="1"/>
  <c r="T72" i="1" a="1"/>
  <c r="T72" i="1" s="1"/>
  <c r="T77" i="1" a="1"/>
  <c r="T77" i="1" s="1"/>
  <c r="T71" i="1" a="1"/>
  <c r="T71" i="1" s="1"/>
  <c r="T26" i="1" a="1"/>
  <c r="T26" i="1" s="1"/>
  <c r="T39" i="1" a="1"/>
  <c r="T39" i="1" s="1"/>
  <c r="T44" i="1" a="1"/>
  <c r="T44" i="1" s="1"/>
  <c r="T49" i="1" a="1"/>
  <c r="T49" i="1" s="1"/>
  <c r="Q27" i="1" a="1"/>
  <c r="Q27" i="1" s="1"/>
  <c r="Q35" i="1" a="1"/>
  <c r="Q35" i="1" s="1"/>
  <c r="Q43" i="1" a="1"/>
  <c r="Q43" i="1" s="1"/>
  <c r="Q51" i="1" a="1"/>
  <c r="Q51" i="1" s="1"/>
  <c r="Q59" i="1" a="1"/>
  <c r="Q59" i="1" s="1"/>
  <c r="Q67" i="1" a="1"/>
  <c r="Q67" i="1" s="1"/>
  <c r="Q75" i="1" a="1"/>
  <c r="Q75" i="1" s="1"/>
  <c r="Q76" i="1" a="1"/>
  <c r="Q76" i="1" s="1"/>
  <c r="Q53" i="1" a="1"/>
  <c r="Q53" i="1" s="1"/>
  <c r="Q77" i="1" a="1"/>
  <c r="Q77" i="1" s="1"/>
  <c r="Q46" i="1" a="1"/>
  <c r="Q46" i="1" s="1"/>
  <c r="Q70" i="1" a="1"/>
  <c r="Q70" i="1" s="1"/>
  <c r="Q47" i="1" a="1"/>
  <c r="Q47" i="1" s="1"/>
  <c r="Q63" i="1" a="1"/>
  <c r="Q63" i="1" s="1"/>
  <c r="Q21" i="1" a="1"/>
  <c r="Q21" i="1" s="1"/>
  <c r="Q28" i="1" a="1"/>
  <c r="Q28" i="1" s="1"/>
  <c r="Q36" i="1" a="1"/>
  <c r="Q36" i="1" s="1"/>
  <c r="Q44" i="1" a="1"/>
  <c r="Q44" i="1" s="1"/>
  <c r="Q52" i="1" a="1"/>
  <c r="Q52" i="1" s="1"/>
  <c r="Q60" i="1" a="1"/>
  <c r="Q60" i="1" s="1"/>
  <c r="Q68" i="1" a="1"/>
  <c r="Q68" i="1" s="1"/>
  <c r="Q37" i="1" a="1"/>
  <c r="Q37" i="1" s="1"/>
  <c r="Q45" i="1" a="1"/>
  <c r="Q45" i="1" s="1"/>
  <c r="Q69" i="1" a="1"/>
  <c r="Q69" i="1" s="1"/>
  <c r="Q62" i="1" a="1"/>
  <c r="Q62" i="1" s="1"/>
  <c r="Q29" i="1" a="1"/>
  <c r="Q29" i="1" s="1"/>
  <c r="Q38" i="1" a="1"/>
  <c r="Q38" i="1" s="1"/>
  <c r="Q32" i="1" a="1"/>
  <c r="Q32" i="1" s="1"/>
  <c r="Q56" i="1" a="1"/>
  <c r="Q56" i="1" s="1"/>
  <c r="Q24" i="1" a="1"/>
  <c r="Q24" i="1" s="1"/>
  <c r="Q40" i="1" a="1"/>
  <c r="Q40" i="1" s="1"/>
  <c r="Q64" i="1" a="1"/>
  <c r="Q64" i="1" s="1"/>
  <c r="Q25" i="1" a="1"/>
  <c r="Q25" i="1" s="1"/>
  <c r="Q33" i="1" a="1"/>
  <c r="Q33" i="1" s="1"/>
  <c r="Q41" i="1" a="1"/>
  <c r="Q41" i="1" s="1"/>
  <c r="Q49" i="1" a="1"/>
  <c r="Q49" i="1" s="1"/>
  <c r="Q57" i="1" a="1"/>
  <c r="Q57" i="1" s="1"/>
  <c r="Q65" i="1" a="1"/>
  <c r="Q65" i="1" s="1"/>
  <c r="Q73" i="1" a="1"/>
  <c r="Q73" i="1" s="1"/>
  <c r="B8" i="1"/>
  <c r="B9" i="1" s="1"/>
  <c r="Q26" i="1" a="1"/>
  <c r="Q26" i="1" s="1"/>
  <c r="Q34" i="1" a="1"/>
  <c r="Q34" i="1" s="1"/>
  <c r="Q42" i="1" a="1"/>
  <c r="Q42" i="1" s="1"/>
  <c r="Q50" i="1" a="1"/>
  <c r="Q50" i="1" s="1"/>
  <c r="Q58" i="1" a="1"/>
  <c r="Q58" i="1" s="1"/>
  <c r="Q66" i="1" a="1"/>
  <c r="Q66" i="1" s="1"/>
  <c r="Q74" i="1" a="1"/>
  <c r="Q74" i="1" s="1"/>
  <c r="Q61" i="1" a="1"/>
  <c r="Q61" i="1" s="1"/>
  <c r="B3" i="1"/>
  <c r="B5" i="1" s="1"/>
  <c r="Q22" i="1" a="1"/>
  <c r="Q22" i="1" s="1"/>
  <c r="Q30" i="1" a="1"/>
  <c r="Q30" i="1" s="1"/>
  <c r="Q54" i="1" a="1"/>
  <c r="Q54" i="1" s="1"/>
  <c r="Q78" i="1" a="1"/>
  <c r="Q78" i="1" s="1"/>
  <c r="B7" i="1" s="1"/>
  <c r="Q23" i="1" a="1"/>
  <c r="Q23" i="1" s="1"/>
  <c r="Q31" i="1" a="1"/>
  <c r="Q31" i="1" s="1"/>
  <c r="Q39" i="1" a="1"/>
  <c r="Q39" i="1" s="1"/>
  <c r="Q55" i="1" a="1"/>
  <c r="Q55" i="1" s="1"/>
  <c r="Q71" i="1" a="1"/>
  <c r="Q71" i="1" s="1"/>
  <c r="Q48" i="1" a="1"/>
  <c r="Q48" i="1" s="1"/>
  <c r="Q72" i="1" a="1"/>
  <c r="Q72" i="1" s="1"/>
  <c r="B11" i="1" l="1"/>
  <c r="C88" i="3"/>
  <c r="C90" i="3" s="1"/>
  <c r="D11" i="1"/>
  <c r="E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<sst xmlns="http://schemas.openxmlformats.org/spreadsheetml/2006/main" count="644" uniqueCount="404">
  <si>
    <t>Date</t>
  </si>
  <si>
    <t>% Return</t>
  </si>
  <si>
    <t>Ra</t>
  </si>
  <si>
    <t>Rg</t>
  </si>
  <si>
    <t>Ra EAR</t>
  </si>
  <si>
    <t>Rg EAR</t>
  </si>
  <si>
    <t>Adjusted Closing Prices</t>
  </si>
  <si>
    <t>Proctor &amp; Gamble</t>
  </si>
  <si>
    <t>Colgate - Palmolive</t>
  </si>
  <si>
    <t>Church &amp; Dwight</t>
  </si>
  <si>
    <t>Unilever</t>
  </si>
  <si>
    <t>Total Cum. $R</t>
  </si>
  <si>
    <t>S.D.</t>
  </si>
  <si>
    <t>S.D. annual</t>
  </si>
  <si>
    <t>Annual Sharpe Ratio</t>
  </si>
  <si>
    <t>Investment:</t>
  </si>
  <si>
    <t>Risk Free Rate:</t>
  </si>
  <si>
    <t>SPY</t>
  </si>
  <si>
    <t>CUM. $ Return</t>
  </si>
  <si>
    <t>NAME:</t>
  </si>
  <si>
    <t>PROCTER &amp; GAMBLE CO</t>
  </si>
  <si>
    <t>TICKER SYMBOL:</t>
  </si>
  <si>
    <t>PG</t>
  </si>
  <si>
    <t>PRIMARY SIC CODE:</t>
  </si>
  <si>
    <t>2840</t>
  </si>
  <si>
    <t>STOCK EXCHANGE:</t>
  </si>
  <si>
    <t>11</t>
  </si>
  <si>
    <t>New York Stock Exchange</t>
  </si>
  <si>
    <t>CUSIP:</t>
  </si>
  <si>
    <t>742718</t>
  </si>
  <si>
    <t>STATEMENT OF FINANCIAL POSITION</t>
  </si>
  <si>
    <t>Fiscal Year: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</si>
  <si>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</si>
  <si>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</si>
  <si>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</si>
  <si>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</si>
  <si>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</si>
  <si>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</si>
  <si>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</si>
  <si>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</si>
  <si>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</si>
  <si>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</si>
  <si>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>(FYR Ending):</t>
  </si>
  <si>
    <t>(30JUN2013 )</t>
  </si>
  <si>
    <t>(30JUN2014 )</t>
  </si>
  <si>
    <t>(30JUN2015 )</t>
  </si>
  <si>
    <t>(30JUN2016 )</t>
  </si>
  <si>
    <t>(30JUN2017 )</t>
  </si>
  <si>
    <t>(30JUN2018 )</t>
  </si>
  <si>
    <t>(30JUN2019 )</t>
  </si>
  <si>
    <t>(30JUN2020 )</t>
  </si>
  <si>
    <t>(30JUN2021 )</t>
  </si>
  <si>
    <t>(30JUN2022 )</t>
  </si>
  <si>
    <t>ASSETS</t>
  </si>
  <si>
    <t>    Cash &amp; Equivalents</t>
  </si>
  <si>
    <t>    Receivables - Total (Net)</t>
  </si>
  <si>
    <t>    Inventories - Total</t>
  </si>
  <si>
    <t>    Prepaid Expenses</t>
  </si>
  <si>
    <t>    Current Assets - Other</t>
  </si>
  <si>
    <t>Current Assets - Total</t>
  </si>
  <si>
    <t>    Plant, Property &amp; Equip (Gross)</t>
  </si>
  <si>
    <t>    Accumulated Depreciation</t>
  </si>
  <si>
    <t>Plant, Property &amp; Equip (Net)</t>
  </si>
  <si>
    <t>    Investments at Equity</t>
  </si>
  <si>
    <t>    Investments and Advances - Other</t>
  </si>
  <si>
    <t>    Intangibles</t>
  </si>
  <si>
    <t>    Deferred Charges</t>
  </si>
  <si>
    <t>    Assets - Other</t>
  </si>
  <si>
    <t>TOTAL ASSETS</t>
  </si>
  <si>
    <t>LIABILITIES</t>
  </si>
  <si>
    <t>    Accounts Payable</t>
  </si>
  <si>
    <t>    Notes Payable</t>
  </si>
  <si>
    <t>    Accrued Expenses</t>
  </si>
  <si>
    <t>    Taxes Payable</t>
  </si>
  <si>
    <t>    Debt (Long-Term) Due In One Year</t>
  </si>
  <si>
    <t>    Other Current Liabilities</t>
  </si>
  <si>
    <t>Total Current Liabilities</t>
  </si>
  <si>
    <t>    Long Term Debt</t>
  </si>
  <si>
    <t>    Deferred Taxes (Balance Sheet)</t>
  </si>
  <si>
    <t>    Investment Tax Credit</t>
  </si>
  <si>
    <t>    Liabilities - Other</t>
  </si>
  <si>
    <t>    Noncontrolling Interest - Redeemable</t>
  </si>
  <si>
    <t>TOTAL LIABILITIES</t>
  </si>
  <si>
    <t>SHAREHOLDERS' EQUITY</t>
  </si>
  <si>
    <t>    Preferred Stock</t>
  </si>
  <si>
    <t>    Common Stock</t>
  </si>
  <si>
    <t>    Capital Surplus</t>
  </si>
  <si>
    <t>    Retained Earnings (Net Other)</t>
  </si>
  <si>
    <t>    Less: Treasury Stock</t>
  </si>
  <si>
    <t>Shareholders Equity - Parent</t>
  </si>
  <si>
    <t>Noncontrolling Interest - Nonredeemable</t>
  </si>
  <si>
    <t>TOTAL SHAREHOLDERS EQUITY</t>
  </si>
  <si>
    <t>TOTAL LIABILITIES AND EQUITY</t>
  </si>
  <si>
    <t>INCOME STATEMENT</t>
  </si>
  <si>
    <t>Sales (Net)</t>
  </si>
  <si>
    <t>    Cost of Goods Sold</t>
  </si>
  <si>
    <t>Gross Profit</t>
  </si>
  <si>
    <t>    Selling, General, &amp; Admin Expenses</t>
  </si>
  <si>
    <t>Operating Income Before Depreciation</t>
  </si>
  <si>
    <t>    Depreciation, Depletion, &amp; Amortiz</t>
  </si>
  <si>
    <t>Operating Income After Depreciation</t>
  </si>
  <si>
    <t>    Interest Expense</t>
  </si>
  <si>
    <t>    Non-Operating Income/Expense</t>
  </si>
  <si>
    <t>    Special Items</t>
  </si>
  <si>
    <t>Pretax Income</t>
  </si>
  <si>
    <t>    Income Taxes - Total</t>
  </si>
  <si>
    <t>    Minority Interest</t>
  </si>
  <si>
    <t>Income Before EI&amp;DO</t>
  </si>
  <si>
    <t>    Extraordinary Items</t>
  </si>
  <si>
    <t>    Discontinued Operations</t>
  </si>
  <si>
    <t>Net Income (Loss)</t>
  </si>
  <si>
    <t>    Preferred Dividends</t>
  </si>
  <si>
    <t>Available for Common Before EI&amp;DO</t>
  </si>
  <si>
    <t>    Common Stock Equivalents - Savings</t>
  </si>
  <si>
    <t>Adjusted Available for Common</t>
  </si>
  <si>
    <t>EARNINGS PER SHARE</t>
  </si>
  <si>
    <t>    EPS - Primary, Excluding EI&amp;DO</t>
  </si>
  <si>
    <t>    EPS - Primary, Including EI&amp;DO</t>
  </si>
  <si>
    <t>    EPS - Fully Diluted, Excluding EI&amp;DO</t>
  </si>
  <si>
    <t>    EPS - Fully Diluted, Including EI&amp;DO</t>
  </si>
  <si>
    <t>COMMON SHARES</t>
  </si>
  <si>
    <t>    Common Shares for Primary EPS Calculation</t>
  </si>
  <si>
    <t>    Common Shares for Fully Diluted EPS Calc.</t>
  </si>
  <si>
    <t>    Common Shares Outstanding at Fiscal Yr End</t>
  </si>
  <si>
    <t>STATEMENT OF RETAINED EARNINGS</t>
  </si>
  <si>
    <t>Retained Rearnings - Beginning Balance</t>
  </si>
  <si>
    <t>Net Income</t>
  </si>
  <si>
    <t>Cash Dividends</t>
  </si>
  <si>
    <t>Retained Earnings After Dividends</t>
  </si>
  <si>
    <t>Change - Foreign Currency Translation</t>
  </si>
  <si>
    <t>Adj. to Long-Term Marketable Securities</t>
  </si>
  <si>
    <t>Other CMP Adj,(Stock Splits/Retirement)</t>
  </si>
  <si>
    <t>Non-Compustat Adjustments (Plug Calculation)</t>
  </si>
  <si>
    <t>Retained Earnings - Ending Balance</t>
  </si>
  <si>
    <t>Retroactive Adjustments (Acct'g Chgs)</t>
  </si>
  <si>
    <t>Retained Earnings - After Adjustments</t>
  </si>
  <si>
    <t>STATEMENT OF CASH FLOWS</t>
  </si>
  <si>
    <t>INDIRECT OPERATING ACTIVITIES</t>
  </si>
  <si>
    <t>Income Before Extraordinary Items</t>
  </si>
  <si>
    <t>Depreciation and Amortizations</t>
  </si>
  <si>
    <t>Extraordinary Items and Disc. Operations</t>
  </si>
  <si>
    <t>Deferred Taxes</t>
  </si>
  <si>
    <t>Equity in Net Loss (Earnings)</t>
  </si>
  <si>
    <t>Sale of PPEq and Investments - Loss (Gain)</t>
  </si>
  <si>
    <t>Funds from Operations - Other</t>
  </si>
  <si>
    <t>Receivables - Decrease (Increase)</t>
  </si>
  <si>
    <t>Inventory - Decrease (Increase)</t>
  </si>
  <si>
    <t>Accounts/P and Accrued Liabs - Inc(Dec)</t>
  </si>
  <si>
    <t>Income Taxes - Accrued - Increase(Decrease)</t>
  </si>
  <si>
    <t>Other Assets and Liabilities - Net Change</t>
  </si>
  <si>
    <t>Operating Actiities - Net Cash Flow</t>
  </si>
  <si>
    <t>INVESTING ACTIVITIES</t>
  </si>
  <si>
    <t>Investments - Increase</t>
  </si>
  <si>
    <t>Sale of Investments</t>
  </si>
  <si>
    <t>Short term Investments - Change</t>
  </si>
  <si>
    <t>Capital Expenditures</t>
  </si>
  <si>
    <t>Sale of Property Plant and Equipment</t>
  </si>
  <si>
    <t>Acquisitions</t>
  </si>
  <si>
    <t>Investing Activities - Other</t>
  </si>
  <si>
    <t>Investing Activites - Net Cash Flow</t>
  </si>
  <si>
    <t>FINANCING ACTIVITIES</t>
  </si>
  <si>
    <t>Sale of Common and Preferred Stock</t>
  </si>
  <si>
    <t>Purchase of Common and Preferred Stock</t>
  </si>
  <si>
    <t>Long Term Debt - Issuance</t>
  </si>
  <si>
    <t>Long Term Debt - Reduction</t>
  </si>
  <si>
    <t>Current Debt - Changes</t>
  </si>
  <si>
    <t>Financing Activities - Other</t>
  </si>
  <si>
    <t>Financing Activities - Net Cash Flow</t>
  </si>
  <si>
    <t>Exchange Rate Effect</t>
  </si>
  <si>
    <t>Cash and Cash Equivalents - Change</t>
  </si>
  <si>
    <t>OTHER INFORMATION</t>
  </si>
  <si>
    <t>Interest Paid - Net&lt;</t>
  </si>
  <si>
    <t>Income Taxes Paid</t>
  </si>
  <si>
    <t>ADDITIONAL SCHEDULES</t>
  </si>
  <si>
    <t>Receivables - Trade</t>
  </si>
  <si>
    <t>Income Tax Refund</t>
  </si>
  <si>
    <t>Receivables - Other - Current</t>
  </si>
  <si>
    <t>Receivables - Total (Net)</t>
  </si>
  <si>
    <t>Inventories - Raw Materials</t>
  </si>
  <si>
    <t>Inventories - Work In Process</t>
  </si>
  <si>
    <t>Inventories - Finished Goods</t>
  </si>
  <si>
    <t>Inventories - Other</t>
  </si>
  <si>
    <t>Inventories - Total</t>
  </si>
  <si>
    <t>LESS: Debt (Long Term) Due In One Year</t>
  </si>
  <si>
    <t>Debt - Convertible Subordinated</t>
  </si>
  <si>
    <t>Debt - Senior Convertible</t>
  </si>
  <si>
    <t>Debt - Subordinated</t>
  </si>
  <si>
    <t>Debt - Notes</t>
  </si>
  <si>
    <t>Debt - Debentures</t>
  </si>
  <si>
    <t>Debt - Long Term - Other</t>
  </si>
  <si>
    <t>Debt - Capitalized Lease Obligations</t>
  </si>
  <si>
    <t>Long Term Debt Total</t>
  </si>
  <si>
    <t>Property, Plant and Equipment (Cost)</t>
  </si>
  <si>
    <t>Beginning Balance</t>
  </si>
  <si>
    <t>Retirements</t>
  </si>
  <si>
    <t>Other Changes</t>
  </si>
  <si>
    <t>Ending Balance</t>
  </si>
  <si>
    <t>Accumulated Depreciation on PPE</t>
  </si>
  <si>
    <t>Depreciation Expense</t>
  </si>
  <si>
    <t>Depletion Expense</t>
  </si>
  <si>
    <t>Deferred Taxes - Federal</t>
  </si>
  <si>
    <t>Deferred Taxes - Foreign</t>
  </si>
  <si>
    <t>Deferred Taxes - State</t>
  </si>
  <si>
    <t>Income Taxes - Federal</t>
  </si>
  <si>
    <t>Income Taxes - Foreign</t>
  </si>
  <si>
    <t>Income Taxes - State</t>
  </si>
  <si>
    <t>Income Taxes - Other</t>
  </si>
  <si>
    <t>Income Taxes - Total</t>
  </si>
  <si>
    <t>Common Shares Reserved For Conversion</t>
  </si>
  <si>
    <t>Convertible Debt</t>
  </si>
  <si>
    <t>Preferred Stock</t>
  </si>
  <si>
    <t>Stock Options</t>
  </si>
  <si>
    <t>Warrants and Other</t>
  </si>
  <si>
    <t>Total</t>
  </si>
  <si>
    <t>ADDITIONAL DATA</t>
  </si>
  <si>
    <t>Acquisitions - Income Contribution</t>
  </si>
  <si>
    <t>Acquisitions - Sales Contribution</t>
  </si>
  <si>
    <t>Adjustmnet Factor-Cum, Ex-Date</t>
  </si>
  <si>
    <t>Advertising Expense</t>
  </si>
  <si>
    <t>Average Short Term Borrowing Rate</t>
  </si>
  <si>
    <t>Average Short term Borrowing</t>
  </si>
  <si>
    <t>Common Shareholders (# of)</t>
  </si>
  <si>
    <t>Common Shares Traded (Calendar Yr)</t>
  </si>
  <si>
    <t>Compensating Balance</t>
  </si>
  <si>
    <t>Convertible Debt and Preferred Stock</t>
  </si>
  <si>
    <t>Debt (Long Term) Maturing Due in 2 Years</t>
  </si>
  <si>
    <t>Debt (Long Term) Maturing Due in 3 Years</t>
  </si>
  <si>
    <t>Debt (Long Term) Maturing Due in 4 Years Years</t>
  </si>
  <si>
    <t>Debt (Long Term) Maturing Due in 5 Years</t>
  </si>
  <si>
    <t>Debt - Long-Term Debt - Tied to Prime</t>
  </si>
  <si>
    <t>Debt - Martgages and Other Securities</t>
  </si>
  <si>
    <t>Debt - Unamortized Debt Discount and Other</t>
  </si>
  <si>
    <t>Dividends (Cash)per Share Ex-Date</t>
  </si>
  <si>
    <t>Dividends (Cash) - Common</t>
  </si>
  <si>
    <t>Dividends (Cash) - Preferred</t>
  </si>
  <si>
    <t>Employees (# of)</t>
  </si>
  <si>
    <t>Equity in Earnings - Unconsolidated Subs</t>
  </si>
  <si>
    <t>Foreign Currency Translation Adj - Bal. Sheet</t>
  </si>
  <si>
    <t>Foreign Currency Translation Adj - Inc. Stmnt.</t>
  </si>
  <si>
    <t>Interest Capitalized (in fiscal yr)</t>
  </si>
  <si>
    <t>Interest Capitalized - Net Income Effect</t>
  </si>
  <si>
    <t>Interest Expense on Long Term Debt</t>
  </si>
  <si>
    <t>Investment Tax Credit</t>
  </si>
  <si>
    <t>Labor Related Expenses</t>
  </si>
  <si>
    <t>LIFO Reserve</t>
  </si>
  <si>
    <t>Order Backlog</t>
  </si>
  <si>
    <t>Preferred Stock - Dividends In Arrears</t>
  </si>
  <si>
    <t>Preferred Stock - Liquidation Value</t>
  </si>
  <si>
    <t>Preferred Stock - Redemption Value</t>
  </si>
  <si>
    <t>Present Value - Noncapitalized Leases</t>
  </si>
  <si>
    <t>Price - Calendar Year Close</t>
  </si>
  <si>
    <t>Price - Calendar Year High</t>
  </si>
  <si>
    <t>Price - Calendar Year Low</t>
  </si>
  <si>
    <t>Price - Fiscal Year Close</t>
  </si>
  <si>
    <t>Receivables - Estimated Doubtful</t>
  </si>
  <si>
    <t>Rental Commitments - Minimum Year+1</t>
  </si>
  <si>
    <t>Rental Commitments - Minimum Year+2</t>
  </si>
  <si>
    <t>Rental Commitments - Minimum Year+3</t>
  </si>
  <si>
    <t>Rental Commitments - Minimum Year+4</t>
  </si>
  <si>
    <t>Rental Commitments - Minimum Year+5</t>
  </si>
  <si>
    <t>Rental Expense</t>
  </si>
  <si>
    <t>Rental Income</t>
  </si>
  <si>
    <t>Research and Development Expense</t>
  </si>
  <si>
    <t>Tax Loss Carry Forward</t>
  </si>
  <si>
    <t>Treasury Stock ($) - Common</t>
  </si>
  <si>
    <t>Treasury Stock ($) - Preferred</t>
  </si>
  <si>
    <t>Treasury Stock - # Shares</t>
  </si>
  <si>
    <t>INPUTS INTO FINANCIAL STATEMENTS AND MARKET RELATIONS</t>
  </si>
  <si>
    <t>Cash &amp; Equivalents</t>
  </si>
  <si>
    <t>Prepaid Expenses</t>
  </si>
  <si>
    <t>Current Assets - Other</t>
  </si>
  <si>
    <t>Plant, Property &amp; Equip (Gross)</t>
  </si>
  <si>
    <t>Accumulated Depreciation</t>
  </si>
  <si>
    <t>Investments at Equity</t>
  </si>
  <si>
    <t>Investments and Advances - Other</t>
  </si>
  <si>
    <t>Intangibles</t>
  </si>
  <si>
    <t>Deferred Charges</t>
  </si>
  <si>
    <t>Assets - Other</t>
  </si>
  <si>
    <t>Accounts Payable</t>
  </si>
  <si>
    <t>Notes Payable</t>
  </si>
  <si>
    <t>Accrued Expenses</t>
  </si>
  <si>
    <t>Taxes Payable</t>
  </si>
  <si>
    <t>Debt (Long-Term) Due In One Year</t>
  </si>
  <si>
    <t>Other Current Liabilities</t>
  </si>
  <si>
    <t>Long Term Debt</t>
  </si>
  <si>
    <t>Deferred Taxes (Balance Sheet)</t>
  </si>
  <si>
    <t>Liabilities - Other</t>
  </si>
  <si>
    <t>Noncontrolling Interest - Redeemable</t>
  </si>
  <si>
    <t>Common Stock</t>
  </si>
  <si>
    <t>Capital Surplus</t>
  </si>
  <si>
    <t>Retained Earnings (Net Other)</t>
  </si>
  <si>
    <t>Less: Treasury Stock</t>
  </si>
  <si>
    <t>Cost of Goods Sold</t>
  </si>
  <si>
    <t>Selling, General, &amp; Admin Expenses</t>
  </si>
  <si>
    <t>Depreciation, Depletion, &amp; Amortization</t>
  </si>
  <si>
    <t>Interest Expense</t>
  </si>
  <si>
    <t>Non-Operating Income/Expense</t>
  </si>
  <si>
    <t>Special Items</t>
  </si>
  <si>
    <t>Minority Interest</t>
  </si>
  <si>
    <t>INCOME BEFORE EI&amp;DO</t>
  </si>
  <si>
    <t>Extraordinary Items</t>
  </si>
  <si>
    <t>Discontinued Operations</t>
  </si>
  <si>
    <t>Preferred Dividends</t>
  </si>
  <si>
    <t>EPS - Primary - Excluding EI&amp;DO</t>
  </si>
  <si>
    <t>EPS - Primary - Including EI&amp;DO</t>
  </si>
  <si>
    <t>EPS - Fully Diluted - Excluding EI&amp;DO</t>
  </si>
  <si>
    <t>EPS - Fully Diluted - Including EI&amp;DO</t>
  </si>
  <si>
    <t>SHARES - for Primary EPS Calculation</t>
  </si>
  <si>
    <t>SHARES - for Fully Diluted EPS Calculation</t>
  </si>
  <si>
    <t>SHARES - Outstanding at Fiscal Year End</t>
  </si>
  <si>
    <t>Operating Activities - Net Cash Flow</t>
  </si>
  <si>
    <t>CASH STATEMENT - SOURCE &amp; USE</t>
  </si>
  <si>
    <t>Interest Paid - Net</t>
  </si>
  <si>
    <t>Funds From Operations - Total</t>
  </si>
  <si>
    <t>Working Capital Changes - Other - Inc(Dec)</t>
  </si>
  <si>
    <t>General Assumptions</t>
  </si>
  <si>
    <t>Current Stock Price</t>
  </si>
  <si>
    <t>Current Stock Beta</t>
  </si>
  <si>
    <t>Rm</t>
  </si>
  <si>
    <t>Rf</t>
  </si>
  <si>
    <t>Current Fully Diluted SHROUT</t>
  </si>
  <si>
    <t>Select Ratios</t>
  </si>
  <si>
    <t xml:space="preserve">SPS </t>
  </si>
  <si>
    <t>EPS</t>
  </si>
  <si>
    <t>BVPS</t>
  </si>
  <si>
    <t>DPS</t>
  </si>
  <si>
    <t>Dividend POR</t>
  </si>
  <si>
    <t>ROE</t>
  </si>
  <si>
    <t>Forecasting Sales Growth</t>
  </si>
  <si>
    <t>Average</t>
  </si>
  <si>
    <t>g SPS</t>
  </si>
  <si>
    <t>g EPS</t>
  </si>
  <si>
    <t>g BVPS</t>
  </si>
  <si>
    <t>g DPS</t>
  </si>
  <si>
    <t>Sustainable Growth Rate (SGR)</t>
  </si>
  <si>
    <t>non-constant growth rate</t>
  </si>
  <si>
    <t xml:space="preserve">P/E Relative Valuation </t>
  </si>
  <si>
    <t>non-constant g</t>
  </si>
  <si>
    <t>Forward P/E</t>
  </si>
  <si>
    <t>Industry P/E</t>
  </si>
  <si>
    <t>NYU Stern Table</t>
  </si>
  <si>
    <t>PEG (5-yr expected)</t>
  </si>
  <si>
    <t>Current EPS</t>
  </si>
  <si>
    <t>Forward EPS</t>
  </si>
  <si>
    <t>P/E Valuation</t>
  </si>
  <si>
    <t xml:space="preserve">P/B Relative Valuation </t>
  </si>
  <si>
    <t>Industry P/B</t>
  </si>
  <si>
    <t>Current BVPS</t>
  </si>
  <si>
    <t>Forward BVPS</t>
  </si>
  <si>
    <t>P/B Valuation</t>
  </si>
  <si>
    <t>Dividend Discount Model (DDM)</t>
  </si>
  <si>
    <t>k (CAPM)</t>
  </si>
  <si>
    <t>constant g</t>
  </si>
  <si>
    <t>Current DPS</t>
  </si>
  <si>
    <t>Forward DPS</t>
  </si>
  <si>
    <t>DDM Valuation</t>
  </si>
  <si>
    <t>Residual Income Model (RIM)</t>
  </si>
  <si>
    <t>Book Value of Equity</t>
  </si>
  <si>
    <t>Equity Charge</t>
  </si>
  <si>
    <t>Forward NI</t>
  </si>
  <si>
    <t>Residual Income</t>
  </si>
  <si>
    <t>RI Valuation</t>
  </si>
  <si>
    <t>Free Cash Flow Model (FCFM)</t>
  </si>
  <si>
    <t xml:space="preserve">MVE (E) </t>
  </si>
  <si>
    <t>MVD (D)</t>
  </si>
  <si>
    <t>We</t>
  </si>
  <si>
    <r>
      <t>W</t>
    </r>
    <r>
      <rPr>
        <vertAlign val="subscript"/>
        <sz val="12"/>
        <color theme="1"/>
        <rFont val="Times New Roman"/>
        <family val="1"/>
      </rPr>
      <t>D</t>
    </r>
  </si>
  <si>
    <t>Re</t>
  </si>
  <si>
    <t>Rd</t>
  </si>
  <si>
    <t>Tax Rate</t>
  </si>
  <si>
    <t>WACC</t>
  </si>
  <si>
    <t>EBIT</t>
  </si>
  <si>
    <t xml:space="preserve">Dep. &amp; Amort. </t>
  </si>
  <si>
    <t>CAPEX</t>
  </si>
  <si>
    <t>ΔNWC</t>
  </si>
  <si>
    <t>FCFF</t>
  </si>
  <si>
    <t>FCFM Equity Valuation</t>
  </si>
  <si>
    <t xml:space="preserve">FCFM Valuation </t>
  </si>
  <si>
    <t>Weighted Valuation</t>
  </si>
  <si>
    <t>Model</t>
  </si>
  <si>
    <t>Weighting</t>
  </si>
  <si>
    <t>Valuation</t>
  </si>
  <si>
    <t>P/E</t>
  </si>
  <si>
    <t>P/B</t>
  </si>
  <si>
    <t>DDM</t>
  </si>
  <si>
    <t>RIM</t>
  </si>
  <si>
    <t>FCFM</t>
  </si>
  <si>
    <t>Current Price</t>
  </si>
  <si>
    <t>Upside/Downside</t>
  </si>
  <si>
    <t>BIL</t>
  </si>
  <si>
    <t>P&amp;G</t>
  </si>
  <si>
    <t>Portfolio</t>
  </si>
  <si>
    <t>Porfolio</t>
  </si>
  <si>
    <t>Optimal Weights</t>
  </si>
  <si>
    <t>Optimal SR</t>
  </si>
  <si>
    <t>Weights</t>
  </si>
  <si>
    <t>Excess Returns</t>
  </si>
  <si>
    <t>Years to Retirement</t>
  </si>
  <si>
    <t>Annual Pre-tax investment</t>
  </si>
  <si>
    <t>Current Tax Rate</t>
  </si>
  <si>
    <t>Retirement Tax Rate</t>
  </si>
  <si>
    <t>Roth IRA</t>
  </si>
  <si>
    <t>Traditional IRA</t>
  </si>
  <si>
    <t>Taxable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</si>
</sst>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0.000"/>
    <numFmt numFmtId="166" formatCode="#,###,###.000"/>
    <numFmt numFmtId="167" formatCode="&quot;$&quot;#,##0.00"/>
    <numFmt numFmtId="168" formatCode="#,###,###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ont="0" applyFill="0" applyBorder="0" applyAlignment="0" applyProtection="0"/>
  </cellStyleXfs>
  <cellXfs count="117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10" fontId="0" fillId="0" borderId="0" xfId="0" applyNumberFormat="1"/>
    <xf numFmtId="44" fontId="0" fillId="0" borderId="0" xfId="1" applyFont="1"/>
    <xf numFmtId="9" fontId="0" fillId="0" borderId="0" xfId="2" applyFont="1"/>
    <xf numFmtId="0" fontId="0" fillId="2" borderId="0" xfId="0" applyFill="1"/>
    <xf numFmtId="10" fontId="0" fillId="3" borderId="0" xfId="2" applyNumberFormat="1" applyFont="1" applyFill="1"/>
    <xf numFmtId="44" fontId="0" fillId="4" borderId="0" xfId="1" applyFont="1" applyFill="1"/>
    <xf numFmtId="0" fontId="0" fillId="5" borderId="0" xfId="0" applyFill="1"/>
    <xf numFmtId="0" fontId="2" fillId="5" borderId="0" xfId="0" applyFont="1" applyFill="1"/>
    <xf numFmtId="10" fontId="0" fillId="5" borderId="0" xfId="0" applyNumberFormat="1" applyFill="1"/>
    <xf numFmtId="10" fontId="0" fillId="5" borderId="0" xfId="2" applyNumberFormat="1" applyFont="1" applyFill="1"/>
    <xf numFmtId="44" fontId="0" fillId="5" borderId="0" xfId="0" applyNumberFormat="1" applyFill="1"/>
    <xf numFmtId="164" fontId="0" fillId="5" borderId="0" xfId="2" applyNumberFormat="1" applyFont="1" applyFill="1"/>
    <xf numFmtId="165" fontId="0" fillId="5" borderId="0" xfId="0" applyNumberFormat="1" applyFill="1"/>
    <xf numFmtId="166" fontId="3" fillId="0" borderId="0" xfId="0" applyNumberFormat="1" applyFont="1" applyAlignment="1">
      <alignment horizontal="right" wrapText="1"/>
    </xf>
    <xf numFmtId="166" fontId="3" fillId="0" borderId="0" xfId="0" applyNumberFormat="1" applyFont="1" applyAlignment="1">
      <alignment wrapText="1"/>
    </xf>
    <xf numFmtId="166" fontId="4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center" wrapText="1"/>
    </xf>
    <xf numFmtId="0" fontId="7" fillId="0" borderId="0" xfId="0" applyFont="1"/>
    <xf numFmtId="167" fontId="7" fillId="6" borderId="0" xfId="0" applyNumberFormat="1" applyFont="1" applyFill="1" applyAlignment="1">
      <alignment horizontal="right" vertical="center"/>
    </xf>
    <xf numFmtId="0" fontId="9" fillId="0" borderId="0" xfId="3" applyNumberFormat="1" applyFont="1" applyFill="1" applyBorder="1" applyAlignment="1"/>
    <xf numFmtId="0" fontId="2" fillId="0" borderId="0" xfId="0" applyFont="1"/>
    <xf numFmtId="2" fontId="2" fillId="6" borderId="0" xfId="0" applyNumberFormat="1" applyFont="1" applyFill="1" applyAlignment="1">
      <alignment horizontal="right" vertical="center"/>
    </xf>
    <xf numFmtId="10" fontId="2" fillId="6" borderId="0" xfId="2" applyNumberFormat="1" applyFont="1" applyFill="1" applyAlignment="1">
      <alignment horizontal="right" vertical="center"/>
    </xf>
    <xf numFmtId="2" fontId="2" fillId="6" borderId="0" xfId="2" applyNumberFormat="1" applyFont="1" applyFill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7" fontId="2" fillId="6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10" fontId="2" fillId="6" borderId="0" xfId="2" applyNumberFormat="1" applyFont="1" applyFill="1" applyBorder="1" applyAlignment="1">
      <alignment horizontal="center" vertical="center"/>
    </xf>
    <xf numFmtId="0" fontId="2" fillId="0" borderId="2" xfId="0" applyFont="1" applyBorder="1"/>
    <xf numFmtId="10" fontId="2" fillId="6" borderId="2" xfId="2" applyNumberFormat="1" applyFont="1" applyFill="1" applyBorder="1" applyAlignment="1">
      <alignment horizontal="center" vertical="center"/>
    </xf>
    <xf numFmtId="0" fontId="0" fillId="0" borderId="1" xfId="0" applyBorder="1"/>
    <xf numFmtId="0" fontId="9" fillId="0" borderId="1" xfId="3" applyNumberFormat="1" applyFont="1" applyFill="1" applyBorder="1" applyAlignment="1">
      <alignment horizontal="center" vertical="center"/>
    </xf>
    <xf numFmtId="10" fontId="2" fillId="6" borderId="0" xfId="2" applyNumberFormat="1" applyFont="1" applyFill="1" applyAlignment="1">
      <alignment horizontal="center" vertical="center"/>
    </xf>
    <xf numFmtId="10" fontId="9" fillId="6" borderId="0" xfId="3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10" fontId="11" fillId="6" borderId="1" xfId="3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0" fontId="0" fillId="6" borderId="0" xfId="0" applyNumberFormat="1" applyFill="1" applyAlignment="1">
      <alignment horizontal="right" vertical="center"/>
    </xf>
    <xf numFmtId="2" fontId="0" fillId="6" borderId="0" xfId="0" applyNumberFormat="1" applyFill="1" applyAlignment="1">
      <alignment horizontal="right" vertical="center"/>
    </xf>
    <xf numFmtId="0" fontId="12" fillId="0" borderId="0" xfId="0" applyFont="1" applyAlignment="1">
      <alignment horizontal="left" vertical="center"/>
    </xf>
    <xf numFmtId="2" fontId="0" fillId="2" borderId="0" xfId="0" applyNumberFormat="1" applyFill="1" applyAlignment="1">
      <alignment horizontal="right" vertical="center"/>
    </xf>
    <xf numFmtId="0" fontId="0" fillId="0" borderId="2" xfId="0" applyBorder="1" applyAlignment="1">
      <alignment horizontal="left" vertical="center"/>
    </xf>
    <xf numFmtId="167" fontId="7" fillId="6" borderId="2" xfId="0" applyNumberFormat="1" applyFont="1" applyFill="1" applyBorder="1" applyAlignment="1">
      <alignment horizontal="right" vertical="center"/>
    </xf>
    <xf numFmtId="10" fontId="2" fillId="2" borderId="0" xfId="2" applyNumberFormat="1" applyFont="1" applyFill="1" applyBorder="1" applyAlignment="1">
      <alignment horizontal="right" vertical="center"/>
    </xf>
    <xf numFmtId="167" fontId="2" fillId="6" borderId="0" xfId="2" applyNumberFormat="1" applyFont="1" applyFill="1" applyBorder="1" applyAlignment="1">
      <alignment horizontal="right" vertical="center"/>
    </xf>
    <xf numFmtId="167" fontId="0" fillId="6" borderId="0" xfId="0" applyNumberFormat="1" applyFill="1" applyAlignment="1">
      <alignment horizontal="right" vertical="center"/>
    </xf>
    <xf numFmtId="167" fontId="7" fillId="0" borderId="2" xfId="0" applyNumberFormat="1" applyFont="1" applyBorder="1" applyAlignment="1">
      <alignment horizontal="right" vertical="center"/>
    </xf>
    <xf numFmtId="10" fontId="2" fillId="0" borderId="0" xfId="0" applyNumberFormat="1" applyFont="1"/>
    <xf numFmtId="167" fontId="0" fillId="0" borderId="0" xfId="0" applyNumberFormat="1"/>
    <xf numFmtId="167" fontId="2" fillId="6" borderId="0" xfId="0" applyNumberFormat="1" applyFont="1" applyFill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0" fontId="2" fillId="6" borderId="0" xfId="0" applyNumberFormat="1" applyFont="1" applyFill="1" applyAlignment="1">
      <alignment horizontal="right" vertical="center"/>
    </xf>
    <xf numFmtId="168" fontId="14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10" fontId="0" fillId="6" borderId="0" xfId="2" applyNumberFormat="1" applyFont="1" applyFill="1"/>
    <xf numFmtId="167" fontId="0" fillId="6" borderId="0" xfId="0" applyNumberFormat="1" applyFill="1"/>
    <xf numFmtId="167" fontId="15" fillId="6" borderId="3" xfId="0" applyNumberFormat="1" applyFont="1" applyFill="1" applyBorder="1"/>
    <xf numFmtId="167" fontId="16" fillId="6" borderId="0" xfId="0" applyNumberFormat="1" applyFont="1" applyFill="1"/>
    <xf numFmtId="10" fontId="15" fillId="6" borderId="3" xfId="2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10" fillId="0" borderId="1" xfId="3" applyNumberFormat="1" applyFont="1" applyFill="1" applyBorder="1" applyAlignment="1">
      <alignment horizontal="left" vertical="center"/>
    </xf>
    <xf numFmtId="166" fontId="3" fillId="0" borderId="0" xfId="0" applyNumberFormat="1" applyFont="1" applyAlignment="1">
      <alignment wrapText="1"/>
    </xf>
    <xf numFmtId="10" fontId="9" fillId="0" borderId="0" xfId="3" applyNumberFormat="1" applyFont="1" applyFill="1" applyBorder="1" applyAlignment="1"/>
    <xf numFmtId="9" fontId="0" fillId="0" borderId="0" xfId="0" applyNumberFormat="1"/>
    <xf numFmtId="10" fontId="0" fillId="0" borderId="0" xfId="0" applyNumberFormat="1" applyAlignment="1">
      <alignment horizontal="center"/>
    </xf>
    <xf numFmtId="0" fontId="0" fillId="7" borderId="0" xfId="0" applyFill="1"/>
    <xf numFmtId="10" fontId="0" fillId="7" borderId="0" xfId="0" applyNumberFormat="1" applyFill="1" applyAlignment="1">
      <alignment horizontal="center"/>
    </xf>
    <xf numFmtId="0" fontId="0" fillId="7" borderId="0" xfId="0" applyFill="1" applyAlignment="1"/>
    <xf numFmtId="9" fontId="0" fillId="7" borderId="0" xfId="0" applyNumberFormat="1" applyFill="1" applyAlignment="1"/>
    <xf numFmtId="10" fontId="0" fillId="7" borderId="0" xfId="0" applyNumberFormat="1" applyFill="1" applyAlignment="1"/>
    <xf numFmtId="0" fontId="0" fillId="0" borderId="0" xfId="0" applyAlignment="1"/>
    <xf numFmtId="9" fontId="0" fillId="0" borderId="0" xfId="0" applyNumberFormat="1" applyFill="1"/>
    <xf numFmtId="0" fontId="17" fillId="0" borderId="0" xfId="0" applyFont="1"/>
    <xf numFmtId="0" fontId="17" fillId="8" borderId="0" xfId="0" applyFont="1" applyFill="1"/>
    <xf numFmtId="0" fontId="17" fillId="9" borderId="0" xfId="0" applyFont="1" applyFill="1"/>
    <xf numFmtId="8" fontId="0" fillId="0" borderId="0" xfId="0" applyNumberFormat="1"/>
    <xf numFmtId="44" fontId="17" fillId="0" borderId="0" xfId="0" applyNumberFormat="1" applyFont="1"/>
    <xf numFmtId="10" fontId="17" fillId="10" borderId="0" xfId="0" applyNumberFormat="1" applyFont="1" applyFill="1"/>
    <xf numFmtId="0" fontId="18" fillId="8" borderId="0" xfId="0" applyFont="1" applyFill="1"/>
    <xf numFmtId="10" fontId="17" fillId="8" borderId="0" xfId="0" applyNumberFormat="1" applyFont="1" applyFill="1"/>
    <xf numFmtId="10" fontId="17" fillId="9" borderId="0" xfId="0" applyNumberFormat="1" applyFont="1" applyFill="1"/>
    <xf numFmtId="0" fontId="17" fillId="10" borderId="0" xfId="0" applyFont="1" applyFill="1"/>
    <xf numFmtId="9" fontId="17" fillId="10" borderId="0" xfId="0" applyNumberFormat="1" applyFont="1" applyFill="1"/>
    <xf numFmtId="10" fontId="17" fillId="0" borderId="0" xfId="0" applyNumberFormat="1" applyFont="1"/>
    <xf numFmtId="0" fontId="17" fillId="0" borderId="0" xfId="0" applyFont="1" applyAlignment="1">
      <alignment horizontal="center"/>
    </xf>
    <xf numFmtId="10" fontId="17" fillId="0" borderId="0" xfId="0" applyNumberFormat="1" applyFont="1" applyAlignment="1">
      <alignment horizontal="center"/>
    </xf>
    <xf numFmtId="44" fontId="17" fillId="8" borderId="0" xfId="0" applyNumberFormat="1" applyFont="1" applyFill="1"/>
    <xf numFmtId="164" fontId="17" fillId="8" borderId="0" xfId="0" applyNumberFormat="1" applyFont="1" applyFill="1"/>
    <xf numFmtId="165" fontId="17" fillId="8" borderId="0" xfId="0" applyNumberFormat="1" applyFont="1" applyFill="1"/>
    <xf numFmtId="165" fontId="17" fillId="9" borderId="0" xfId="0" applyNumberFormat="1" applyFont="1" applyFill="1"/>
    <xf numFmtId="9" fontId="17" fillId="0" borderId="0" xfId="0" applyNumberFormat="1" applyFont="1"/>
    <xf numFmtId="14" fontId="17" fillId="0" borderId="0" xfId="0" applyNumberFormat="1" applyFont="1"/>
    <xf numFmtId="0" fontId="17" fillId="11" borderId="0" xfId="0" applyFont="1" applyFill="1"/>
    <xf numFmtId="10" fontId="17" fillId="12" borderId="0" xfId="0" applyNumberFormat="1" applyFont="1" applyFill="1"/>
    <xf numFmtId="10" fontId="17" fillId="13" borderId="0" xfId="0" applyNumberFormat="1" applyFont="1" applyFill="1"/>
    <xf numFmtId="44" fontId="17" fillId="14" borderId="0" xfId="0" applyNumberFormat="1" applyFont="1" applyFill="1"/>
    <xf numFmtId="0" fontId="17" fillId="0" borderId="0" xfId="0" applyFont="1" applyAlignment="1">
      <alignment horizontal="center"/>
    </xf>
    <xf numFmtId="0" fontId="0" fillId="0" borderId="0" xfId="0" applyFill="1"/>
    <xf numFmtId="10" fontId="0" fillId="0" borderId="0" xfId="0" applyNumberFormat="1" applyFill="1"/>
    <xf numFmtId="10" fontId="0" fillId="0" borderId="0" xfId="2" applyNumberFormat="1" applyFont="1" applyFill="1"/>
    <xf numFmtId="165" fontId="0" fillId="0" borderId="0" xfId="0" applyNumberFormat="1" applyFill="1"/>
    <xf numFmtId="10" fontId="17" fillId="15" borderId="0" xfId="0" applyNumberFormat="1" applyFont="1" applyFill="1"/>
    <xf numFmtId="10" fontId="0" fillId="16" borderId="0" xfId="0" applyNumberFormat="1" applyFill="1"/>
    <xf numFmtId="9" fontId="17" fillId="0" borderId="0" xfId="2" applyFont="1"/>
    <xf numFmtId="0" fontId="0" fillId="0" borderId="0" xfId="0" applyFill="1" applyBorder="1" applyAlignment="1"/>
    <xf numFmtId="0" fontId="0" fillId="0" borderId="4" xfId="0" applyFill="1" applyBorder="1" applyAlignment="1"/>
    <xf numFmtId="0" fontId="19" fillId="0" borderId="5" xfId="0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Normal 2" xfId="3" xr:uid="{114076A4-79D0-6041-87E4-D915AD60D9D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Cum.</a:t>
            </a:r>
            <a:r>
              <a:rPr lang="en-US" baseline="0"/>
              <a:t> $ Return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Returns!$Q$18</c:f>
              <c:strCache>
                <c:ptCount val="1"/>
                <c:pt idx="0">
                  <c:v>Proctor &amp; Gamble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Returns!$Q$19:$Q$78</c:f>
              <c:numCache>
                <c:formatCode>General</c:formatCode>
                <c:ptCount val="60"/>
                <c:pt idx="2" formatCode="_(&quot;$&quot;* #,##0.00_);_(&quot;$&quot;* \(#,##0.00\);_(&quot;$&quot;* &quot;-&quot;??_);_(@_)">
                  <c:v>-40.560159542022802</c:v>
                </c:pt>
                <c:pt idx="3" formatCode="_(&quot;$&quot;* #,##0.00_);_(&quot;$&quot;* \(#,##0.00\);_(&quot;$&quot;* &quot;-&quot;??_);_(@_)">
                  <c:v>-120.80675758855978</c:v>
                </c:pt>
                <c:pt idx="4" formatCode="_(&quot;$&quot;* #,##0.00_);_(&quot;$&quot;* \(#,##0.00\);_(&quot;$&quot;* &quot;-&quot;??_);_(@_)">
                  <c:v>-112.29715011506255</c:v>
                </c:pt>
                <c:pt idx="5" formatCode="_(&quot;$&quot;* #,##0.00_);_(&quot;$&quot;* \(#,##0.00\);_(&quot;$&quot;* &quot;-&quot;??_);_(@_)">
                  <c:v>-190.00452563374199</c:v>
                </c:pt>
                <c:pt idx="6" formatCode="_(&quot;$&quot;* #,##0.00_);_(&quot;$&quot;* \(#,##0.00\);_(&quot;$&quot;* &quot;-&quot;??_);_(@_)">
                  <c:v>-173.12963282437931</c:v>
                </c:pt>
                <c:pt idx="7" formatCode="_(&quot;$&quot;* #,##0.00_);_(&quot;$&quot;* \(#,##0.00\);_(&quot;$&quot;* &quot;-&quot;??_);_(@_)">
                  <c:v>-117.86935009332899</c:v>
                </c:pt>
                <c:pt idx="8" formatCode="_(&quot;$&quot;* #,##0.00_);_(&quot;$&quot;* \(#,##0.00\);_(&quot;$&quot;* &quot;-&quot;??_);_(@_)">
                  <c:v>-86.001492276995577</c:v>
                </c:pt>
                <c:pt idx="9" formatCode="_(&quot;$&quot;* #,##0.00_);_(&quot;$&quot;* \(#,##0.00\);_(&quot;$&quot;* &quot;-&quot;??_);_(@_)">
                  <c:v>-54.10178623773686</c:v>
                </c:pt>
                <c:pt idx="10" formatCode="_(&quot;$&quot;* #,##0.00_);_(&quot;$&quot;* \(#,##0.00\);_(&quot;$&quot;* &quot;-&quot;??_);_(@_)">
                  <c:v>-50.90858150303518</c:v>
                </c:pt>
                <c:pt idx="11" formatCode="_(&quot;$&quot;* #,##0.00_);_(&quot;$&quot;* \(#,##0.00\);_(&quot;$&quot;* &quot;-&quot;??_);_(@_)">
                  <c:v>11.238933169241477</c:v>
                </c:pt>
                <c:pt idx="12" formatCode="_(&quot;$&quot;* #,##0.00_);_(&quot;$&quot;* \(#,##0.00\);_(&quot;$&quot;* &quot;-&quot;??_);_(@_)">
                  <c:v>87.242637374224614</c:v>
                </c:pt>
                <c:pt idx="13" formatCode="_(&quot;$&quot;* #,##0.00_);_(&quot;$&quot;* \(#,##0.00\);_(&quot;$&quot;* &quot;-&quot;??_);_(@_)">
                  <c:v>57.447113964990649</c:v>
                </c:pt>
                <c:pt idx="14" formatCode="_(&quot;$&quot;* #,##0.00_);_(&quot;$&quot;* \(#,##0.00\);_(&quot;$&quot;* &quot;-&quot;??_);_(@_)">
                  <c:v>109.79073669339436</c:v>
                </c:pt>
                <c:pt idx="15" formatCode="_(&quot;$&quot;* #,##0.00_);_(&quot;$&quot;* \(#,##0.00\);_(&quot;$&quot;* &quot;-&quot;??_);_(@_)">
                  <c:v>142.68570285987289</c:v>
                </c:pt>
                <c:pt idx="16" formatCode="_(&quot;$&quot;* #,##0.00_);_(&quot;$&quot;* \(#,##0.00\);_(&quot;$&quot;* &quot;-&quot;??_);_(@_)">
                  <c:v>206.45818492059334</c:v>
                </c:pt>
                <c:pt idx="17" formatCode="_(&quot;$&quot;* #,##0.00_);_(&quot;$&quot;* \(#,##0.00\);_(&quot;$&quot;* &quot;-&quot;??_);_(@_)">
                  <c:v>234.63405108573784</c:v>
                </c:pt>
                <c:pt idx="18" formatCode="_(&quot;$&quot;* #,##0.00_);_(&quot;$&quot;* \(#,##0.00\);_(&quot;$&quot;* &quot;-&quot;??_);_(@_)">
                  <c:v>201.66354179421819</c:v>
                </c:pt>
                <c:pt idx="19" formatCode="_(&quot;$&quot;* #,##0.00_);_(&quot;$&quot;* \(#,##0.00\);_(&quot;$&quot;* &quot;-&quot;??_);_(@_)">
                  <c:v>280.36551999367316</c:v>
                </c:pt>
                <c:pt idx="20" formatCode="_(&quot;$&quot;* #,##0.00_);_(&quot;$&quot;* \(#,##0.00\);_(&quot;$&quot;* &quot;-&quot;??_);_(@_)">
                  <c:v>378.33432024051899</c:v>
                </c:pt>
                <c:pt idx="21" formatCode="_(&quot;$&quot;* #,##0.00_);_(&quot;$&quot;* \(#,##0.00\);_(&quot;$&quot;* &quot;-&quot;??_);_(@_)">
                  <c:v>412.99817135064563</c:v>
                </c:pt>
                <c:pt idx="22" formatCode="_(&quot;$&quot;* #,##0.00_);_(&quot;$&quot;* \(#,##0.00\);_(&quot;$&quot;* &quot;-&quot;??_);_(@_)">
                  <c:v>461.77083578953807</c:v>
                </c:pt>
                <c:pt idx="23" formatCode="_(&quot;$&quot;* #,##0.00_);_(&quot;$&quot;* \(#,##0.00\);_(&quot;$&quot;* &quot;-&quot;??_);_(@_)">
                  <c:v>463.29876661150615</c:v>
                </c:pt>
                <c:pt idx="24" formatCode="_(&quot;$&quot;* #,##0.00_);_(&quot;$&quot;* \(#,##0.00\);_(&quot;$&quot;* &quot;-&quot;??_);_(@_)">
                  <c:v>443.66849046946027</c:v>
                </c:pt>
                <c:pt idx="25" formatCode="_(&quot;$&quot;* #,##0.00_);_(&quot;$&quot;* \(#,##0.00\);_(&quot;$&quot;* &quot;-&quot;??_);_(@_)">
                  <c:v>477.2588326823452</c:v>
                </c:pt>
                <c:pt idx="26" formatCode="_(&quot;$&quot;* #,##0.00_);_(&quot;$&quot;* \(#,##0.00\);_(&quot;$&quot;* &quot;-&quot;??_);_(@_)">
                  <c:v>473.94698415092557</c:v>
                </c:pt>
                <c:pt idx="27" formatCode="_(&quot;$&quot;* #,##0.00_);_(&quot;$&quot;* \(#,##0.00\);_(&quot;$&quot;* &quot;-&quot;??_);_(@_)">
                  <c:v>347.18816161474888</c:v>
                </c:pt>
                <c:pt idx="28" formatCode="_(&quot;$&quot;* #,##0.00_);_(&quot;$&quot;* \(#,##0.00\);_(&quot;$&quot;* &quot;-&quot;??_);_(@_)">
                  <c:v>308.75812855088225</c:v>
                </c:pt>
                <c:pt idx="29" formatCode="_(&quot;$&quot;* #,##0.00_);_(&quot;$&quot;* \(#,##0.00\);_(&quot;$&quot;* &quot;-&quot;??_);_(@_)">
                  <c:v>402.39393950696149</c:v>
                </c:pt>
                <c:pt idx="30" formatCode="_(&quot;$&quot;* #,##0.00_);_(&quot;$&quot;* \(#,##0.00\);_(&quot;$&quot;* &quot;-&quot;??_);_(@_)">
                  <c:v>388.39094976925821</c:v>
                </c:pt>
                <c:pt idx="31" formatCode="_(&quot;$&quot;* #,##0.00_);_(&quot;$&quot;* \(#,##0.00\);_(&quot;$&quot;* &quot;-&quot;??_);_(@_)">
                  <c:v>432.10757290433071</c:v>
                </c:pt>
                <c:pt idx="32" formatCode="_(&quot;$&quot;* #,##0.00_);_(&quot;$&quot;* \(#,##0.00\);_(&quot;$&quot;* &quot;-&quot;??_);_(@_)">
                  <c:v>570.44369859393055</c:v>
                </c:pt>
                <c:pt idx="33" formatCode="_(&quot;$&quot;* #,##0.00_);_(&quot;$&quot;* \(#,##0.00\);_(&quot;$&quot;* &quot;-&quot;??_);_(@_)">
                  <c:v>667.25381269945001</c:v>
                </c:pt>
                <c:pt idx="34" formatCode="_(&quot;$&quot;* #,##0.00_);_(&quot;$&quot;* \(#,##0.00\);_(&quot;$&quot;* &quot;-&quot;??_);_(@_)">
                  <c:v>675.20887674073947</c:v>
                </c:pt>
                <c:pt idx="35" formatCode="_(&quot;$&quot;* #,##0.00_);_(&quot;$&quot;* \(#,##0.00\);_(&quot;$&quot;* &quot;-&quot;??_);_(@_)">
                  <c:v>652.42907812290673</c:v>
                </c:pt>
                <c:pt idx="36" formatCode="_(&quot;$&quot;* #,##0.00_);_(&quot;$&quot;* \(#,##0.00\);_(&quot;$&quot;* &quot;-&quot;??_);_(@_)">
                  <c:v>683.05589198761777</c:v>
                </c:pt>
                <c:pt idx="37" formatCode="_(&quot;$&quot;* #,##0.00_);_(&quot;$&quot;* \(#,##0.00\);_(&quot;$&quot;* &quot;-&quot;??_);_(@_)">
                  <c:v>686.32819258679797</c:v>
                </c:pt>
                <c:pt idx="38" formatCode="_(&quot;$&quot;* #,##0.00_);_(&quot;$&quot;* \(#,##0.00\);_(&quot;$&quot;* &quot;-&quot;??_);_(@_)">
                  <c:v>553.86068671924636</c:v>
                </c:pt>
                <c:pt idx="39" formatCode="_(&quot;$&quot;* #,##0.00_);_(&quot;$&quot;* \(#,##0.00\);_(&quot;$&quot;* &quot;-&quot;??_);_(@_)">
                  <c:v>506.17097564862593</c:v>
                </c:pt>
                <c:pt idx="40" formatCode="_(&quot;$&quot;* #,##0.00_);_(&quot;$&quot;* \(#,##0.00\);_(&quot;$&quot;* &quot;-&quot;??_);_(@_)">
                  <c:v>651.26461403879489</c:v>
                </c:pt>
                <c:pt idx="41" formatCode="_(&quot;$&quot;* #,##0.00_);_(&quot;$&quot;* \(#,##0.00\);_(&quot;$&quot;* &quot;-&quot;??_);_(@_)">
                  <c:v>626.75741281928254</c:v>
                </c:pt>
                <c:pt idx="42" formatCode="_(&quot;$&quot;* #,##0.00_);_(&quot;$&quot;* \(#,##0.00\);_(&quot;$&quot;* &quot;-&quot;??_);_(@_)">
                  <c:v>654.71247812489173</c:v>
                </c:pt>
                <c:pt idx="43" formatCode="_(&quot;$&quot;* #,##0.00_);_(&quot;$&quot;* \(#,##0.00\);_(&quot;$&quot;* &quot;-&quot;??_);_(@_)">
                  <c:v>655.69405830879828</c:v>
                </c:pt>
                <c:pt idx="44" formatCode="_(&quot;$&quot;* #,##0.00_);_(&quot;$&quot;* \(#,##0.00\);_(&quot;$&quot;* &quot;-&quot;??_);_(@_)">
                  <c:v>745.27064320198156</c:v>
                </c:pt>
                <c:pt idx="45" formatCode="_(&quot;$&quot;* #,##0.00_);_(&quot;$&quot;* \(#,##0.00\);_(&quot;$&quot;* &quot;-&quot;??_);_(@_)">
                  <c:v>758.22309673837663</c:v>
                </c:pt>
                <c:pt idx="46" formatCode="_(&quot;$&quot;* #,##0.00_);_(&quot;$&quot;* \(#,##0.00\);_(&quot;$&quot;* &quot;-&quot;??_);_(@_)">
                  <c:v>726.24198112888485</c:v>
                </c:pt>
                <c:pt idx="47" formatCode="_(&quot;$&quot;* #,##0.00_);_(&quot;$&quot;* \(#,##0.00\);_(&quot;$&quot;* &quot;-&quot;??_);_(@_)">
                  <c:v>765.63160785039076</c:v>
                </c:pt>
                <c:pt idx="48" formatCode="_(&quot;$&quot;* #,##0.00_);_(&quot;$&quot;* \(#,##0.00\);_(&quot;$&quot;* &quot;-&quot;??_);_(@_)">
                  <c:v>796.33229593763167</c:v>
                </c:pt>
                <c:pt idx="49" formatCode="_(&quot;$&quot;* #,##0.00_);_(&quot;$&quot;* \(#,##0.00\);_(&quot;$&quot;* &quot;-&quot;??_);_(@_)">
                  <c:v>1032.3976205748875</c:v>
                </c:pt>
                <c:pt idx="50" formatCode="_(&quot;$&quot;* #,##0.00_);_(&quot;$&quot;* \(#,##0.00\);_(&quot;$&quot;* &quot;-&quot;??_);_(@_)">
                  <c:v>993.50862667719161</c:v>
                </c:pt>
                <c:pt idx="51" formatCode="_(&quot;$&quot;* #,##0.00_);_(&quot;$&quot;* \(#,##0.00\);_(&quot;$&quot;* &quot;-&quot;??_);_(@_)">
                  <c:v>947.31105352695045</c:v>
                </c:pt>
                <c:pt idx="52" formatCode="_(&quot;$&quot;* #,##0.00_);_(&quot;$&quot;* \(#,##0.00\);_(&quot;$&quot;* &quot;-&quot;??_);_(@_)">
                  <c:v>908.71201879740511</c:v>
                </c:pt>
                <c:pt idx="53" formatCode="_(&quot;$&quot;* #,##0.00_);_(&quot;$&quot;* \(#,##0.00\);_(&quot;$&quot;* &quot;-&quot;??_);_(@_)">
                  <c:v>1005.5217536068994</c:v>
                </c:pt>
                <c:pt idx="54" formatCode="_(&quot;$&quot;* #,##0.00_);_(&quot;$&quot;* \(#,##0.00\);_(&quot;$&quot;* &quot;-&quot;??_);_(@_)">
                  <c:v>857.61717765953927</c:v>
                </c:pt>
                <c:pt idx="55" formatCode="_(&quot;$&quot;* #,##0.00_);_(&quot;$&quot;* \(#,##0.00\);_(&quot;$&quot;* &quot;-&quot;??_);_(@_)">
                  <c:v>806.23990005802557</c:v>
                </c:pt>
                <c:pt idx="56" formatCode="_(&quot;$&quot;* #,##0.00_);_(&quot;$&quot;* \(#,##0.00\);_(&quot;$&quot;* &quot;-&quot;??_);_(@_)">
                  <c:v>744.93920169186208</c:v>
                </c:pt>
                <c:pt idx="57" formatCode="_(&quot;$&quot;* #,##0.00_);_(&quot;$&quot;* \(#,##0.00\);_(&quot;$&quot;* &quot;-&quot;??_);_(@_)">
                  <c:v>744.00314967419376</c:v>
                </c:pt>
                <c:pt idx="58" formatCode="_(&quot;$&quot;* #,##0.00_);_(&quot;$&quot;* \(#,##0.00\);_(&quot;$&quot;* &quot;-&quot;??_);_(@_)">
                  <c:v>596.20410652427699</c:v>
                </c:pt>
                <c:pt idx="59" formatCode="_(&quot;$&quot;* #,##0.00_);_(&quot;$&quot;* \(#,##0.00\);_(&quot;$&quot;* &quot;-&quot;??_);_(@_)">
                  <c:v>570.66487874949075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A4-0A42-8E6D-C84FE703DE7B}"/>
            </c:ext>
          </c:extLst>
        </c:ser>
        <c:ser>
          <c:idx val="1"/>
          <c:order val="1"/>
          <c:tx>
            <c:strRef>
              <c:f>Returns!$R$18</c:f>
              <c:strCache>
                <c:ptCount val="1"/>
                <c:pt idx="0">
                  <c:v>Colgate - Palmolive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Returns!$R$19:$R$78</c:f>
              <c:numCache>
                <c:formatCode>General</c:formatCode>
                <c:ptCount val="60"/>
                <c:pt idx="2" formatCode="_(&quot;$&quot;* #,##0.00_);_(&quot;$&quot;* \(#,##0.00\);_(&quot;$&quot;* &quot;-&quot;??_);_(@_)">
                  <c:v>24.706616431519024</c:v>
                </c:pt>
                <c:pt idx="3" formatCode="_(&quot;$&quot;* #,##0.00_);_(&quot;$&quot;* \(#,##0.00\);_(&quot;$&quot;* &quot;-&quot;??_);_(@_)">
                  <c:v>-43.094010847194454</c:v>
                </c:pt>
                <c:pt idx="4" formatCode="_(&quot;$&quot;* #,##0.00_);_(&quot;$&quot;* \(#,##0.00\);_(&quot;$&quot;* &quot;-&quot;??_);_(@_)">
                  <c:v>-5.4950723801014192</c:v>
                </c:pt>
                <c:pt idx="5" formatCode="_(&quot;$&quot;* #,##0.00_);_(&quot;$&quot;* \(#,##0.00\);_(&quot;$&quot;* &quot;-&quot;??_);_(@_)">
                  <c:v>-94.98397154700308</c:v>
                </c:pt>
                <c:pt idx="6" formatCode="_(&quot;$&quot;* #,##0.00_);_(&quot;$&quot;* \(#,##0.00\);_(&quot;$&quot;* &quot;-&quot;??_);_(@_)">
                  <c:v>-119.54445558322061</c:v>
                </c:pt>
                <c:pt idx="7" formatCode="_(&quot;$&quot;* #,##0.00_);_(&quot;$&quot;* \(#,##0.00\);_(&quot;$&quot;* &quot;-&quot;??_);_(@_)">
                  <c:v>-95.540942968248828</c:v>
                </c:pt>
                <c:pt idx="8" formatCode="_(&quot;$&quot;* #,##0.00_);_(&quot;$&quot;* \(#,##0.00\);_(&quot;$&quot;* &quot;-&quot;??_);_(@_)">
                  <c:v>-64.838603952430162</c:v>
                </c:pt>
                <c:pt idx="9" formatCode="_(&quot;$&quot;* #,##0.00_);_(&quot;$&quot;* \(#,##0.00\);_(&quot;$&quot;* &quot;-&quot;??_);_(@_)">
                  <c:v>-67.241894853972326</c:v>
                </c:pt>
                <c:pt idx="10" formatCode="_(&quot;$&quot;* #,##0.00_);_(&quot;$&quot;* \(#,##0.00\);_(&quot;$&quot;* &quot;-&quot;??_);_(@_)">
                  <c:v>-59.65737637944676</c:v>
                </c:pt>
                <c:pt idx="11" formatCode="_(&quot;$&quot;* #,##0.00_);_(&quot;$&quot;* \(#,##0.00\);_(&quot;$&quot;* &quot;-&quot;??_);_(@_)">
                  <c:v>-163.59385716874465</c:v>
                </c:pt>
                <c:pt idx="12" formatCode="_(&quot;$&quot;* #,##0.00_);_(&quot;$&quot;* \(#,##0.00\);_(&quot;$&quot;* &quot;-&quot;??_);_(@_)">
                  <c:v>-101.89771761125678</c:v>
                </c:pt>
                <c:pt idx="13" formatCode="_(&quot;$&quot;* #,##0.00_);_(&quot;$&quot;* \(#,##0.00\);_(&quot;$&quot;* &quot;-&quot;??_);_(@_)">
                  <c:v>-158.45339528193483</c:v>
                </c:pt>
                <c:pt idx="14" formatCode="_(&quot;$&quot;* #,##0.00_);_(&quot;$&quot;* \(#,##0.00\);_(&quot;$&quot;* &quot;-&quot;??_);_(@_)">
                  <c:v>-85.496642453743902</c:v>
                </c:pt>
                <c:pt idx="15" formatCode="_(&quot;$&quot;* #,##0.00_);_(&quot;$&quot;* \(#,##0.00\);_(&quot;$&quot;* &quot;-&quot;??_);_(@_)">
                  <c:v>-62.383471579573779</c:v>
                </c:pt>
                <c:pt idx="16" formatCode="_(&quot;$&quot;* #,##0.00_);_(&quot;$&quot;* \(#,##0.00\);_(&quot;$&quot;* &quot;-&quot;??_);_(@_)">
                  <c:v>-24.377803094691672</c:v>
                </c:pt>
                <c:pt idx="17" formatCode="_(&quot;$&quot;* #,##0.00_);_(&quot;$&quot;* \(#,##0.00\);_(&quot;$&quot;* &quot;-&quot;??_);_(@_)">
                  <c:v>36.117980869848452</c:v>
                </c:pt>
                <c:pt idx="18" formatCode="_(&quot;$&quot;* #,##0.00_);_(&quot;$&quot;* \(#,##0.00\);_(&quot;$&quot;* &quot;-&quot;??_);_(@_)">
                  <c:v>-2.7939710716864283</c:v>
                </c:pt>
                <c:pt idx="19" formatCode="_(&quot;$&quot;* #,##0.00_);_(&quot;$&quot;* \(#,##0.00\);_(&quot;$&quot;* &quot;-&quot;??_);_(@_)">
                  <c:v>26.569078443854551</c:v>
                </c:pt>
                <c:pt idx="20" formatCode="_(&quot;$&quot;* #,##0.00_);_(&quot;$&quot;* \(#,##0.00\);_(&quot;$&quot;* &quot;-&quot;??_);_(@_)">
                  <c:v>27.571892697361363</c:v>
                </c:pt>
                <c:pt idx="21" formatCode="_(&quot;$&quot;* #,##0.00_);_(&quot;$&quot;* \(#,##0.00\);_(&quot;$&quot;* &quot;-&quot;??_);_(@_)">
                  <c:v>68.257561343514681</c:v>
                </c:pt>
                <c:pt idx="22" formatCode="_(&quot;$&quot;* #,##0.00_);_(&quot;$&quot;* \(#,##0.00\);_(&quot;$&quot;* &quot;-&quot;??_);_(@_)">
                  <c:v>59.03722509596264</c:v>
                </c:pt>
                <c:pt idx="23" formatCode="_(&quot;$&quot;* #,##0.00_);_(&quot;$&quot;* \(#,##0.00\);_(&quot;$&quot;* &quot;-&quot;??_);_(@_)">
                  <c:v>-11.699875510955053</c:v>
                </c:pt>
                <c:pt idx="24" formatCode="_(&quot;$&quot;* #,##0.00_);_(&quot;$&quot;* \(#,##0.00\);_(&quot;$&quot;* &quot;-&quot;??_);_(@_)">
                  <c:v>-16.746741606736464</c:v>
                </c:pt>
                <c:pt idx="25" formatCode="_(&quot;$&quot;* #,##0.00_);_(&quot;$&quot;* \(#,##0.00\);_(&quot;$&quot;* &quot;-&quot;??_);_(@_)">
                  <c:v>-1.9588537825972026</c:v>
                </c:pt>
                <c:pt idx="26" formatCode="_(&quot;$&quot;* #,##0.00_);_(&quot;$&quot;* \(#,##0.00\);_(&quot;$&quot;* &quot;-&quot;??_);_(@_)">
                  <c:v>69.661204708361538</c:v>
                </c:pt>
                <c:pt idx="27" formatCode="_(&quot;$&quot;* #,##0.00_);_(&quot;$&quot;* \(#,##0.00\);_(&quot;$&quot;* &quot;-&quot;??_);_(@_)">
                  <c:v>-14.426542264847967</c:v>
                </c:pt>
                <c:pt idx="28" formatCode="_(&quot;$&quot;* #,##0.00_);_(&quot;$&quot;* \(#,##0.00\);_(&quot;$&quot;* &quot;-&quot;??_);_(@_)">
                  <c:v>-32.075705478467398</c:v>
                </c:pt>
                <c:pt idx="29" formatCode="_(&quot;$&quot;* #,##0.00_);_(&quot;$&quot;* \(#,##0.00\);_(&quot;$&quot;* &quot;-&quot;??_);_(@_)">
                  <c:v>24.95553582030243</c:v>
                </c:pt>
                <c:pt idx="30" formatCode="_(&quot;$&quot;* #,##0.00_);_(&quot;$&quot;* \(#,##0.00\);_(&quot;$&quot;* &quot;-&quot;??_);_(@_)">
                  <c:v>61.414116392476444</c:v>
                </c:pt>
                <c:pt idx="31" formatCode="_(&quot;$&quot;* #,##0.00_);_(&quot;$&quot;* \(#,##0.00\);_(&quot;$&quot;* &quot;-&quot;??_);_(@_)">
                  <c:v>75.061646321696117</c:v>
                </c:pt>
                <c:pt idx="32" formatCode="_(&quot;$&quot;* #,##0.00_);_(&quot;$&quot;* \(#,##0.00\);_(&quot;$&quot;* &quot;-&quot;??_);_(@_)">
                  <c:v>132.87966999783225</c:v>
                </c:pt>
                <c:pt idx="33" formatCode="_(&quot;$&quot;* #,##0.00_);_(&quot;$&quot;* \(#,##0.00\);_(&quot;$&quot;* &quot;-&quot;??_);_(@_)">
                  <c:v>169.97500780750261</c:v>
                </c:pt>
                <c:pt idx="34" formatCode="_(&quot;$&quot;* #,##0.00_);_(&quot;$&quot;* \(#,##0.00\);_(&quot;$&quot;* &quot;-&quot;??_);_(@_)">
                  <c:v>138.82871054211068</c:v>
                </c:pt>
                <c:pt idx="35" formatCode="_(&quot;$&quot;* #,##0.00_);_(&quot;$&quot;* \(#,##0.00\);_(&quot;$&quot;* &quot;-&quot;??_);_(@_)">
                  <c:v>164.51340994120847</c:v>
                </c:pt>
                <c:pt idx="36" formatCode="_(&quot;$&quot;* #,##0.00_);_(&quot;$&quot;* \(#,##0.00\);_(&quot;$&quot;* &quot;-&quot;??_);_(@_)">
                  <c:v>271.12547293564012</c:v>
                </c:pt>
                <c:pt idx="37" formatCode="_(&quot;$&quot;* #,##0.00_);_(&quot;$&quot;* \(#,##0.00\);_(&quot;$&quot;* &quot;-&quot;??_);_(@_)">
                  <c:v>269.19595376389611</c:v>
                </c:pt>
                <c:pt idx="38" formatCode="_(&quot;$&quot;* #,##0.00_);_(&quot;$&quot;* \(#,##0.00\);_(&quot;$&quot;* &quot;-&quot;??_);_(@_)">
                  <c:v>157.72759923613921</c:v>
                </c:pt>
                <c:pt idx="39" formatCode="_(&quot;$&quot;* #,##0.00_);_(&quot;$&quot;* \(#,##0.00\);_(&quot;$&quot;* &quot;-&quot;??_);_(@_)">
                  <c:v>122.39734303500063</c:v>
                </c:pt>
                <c:pt idx="40" formatCode="_(&quot;$&quot;* #,##0.00_);_(&quot;$&quot;* \(#,##0.00\);_(&quot;$&quot;* &quot;-&quot;??_);_(@_)">
                  <c:v>176.57685543692173</c:v>
                </c:pt>
                <c:pt idx="41" formatCode="_(&quot;$&quot;* #,##0.00_);_(&quot;$&quot;* \(#,##0.00\);_(&quot;$&quot;* &quot;-&quot;??_);_(@_)">
                  <c:v>204.48758683311326</c:v>
                </c:pt>
                <c:pt idx="42" formatCode="_(&quot;$&quot;* #,##0.00_);_(&quot;$&quot;* \(#,##0.00\);_(&quot;$&quot;* &quot;-&quot;??_);_(@_)">
                  <c:v>257.49879699517874</c:v>
                </c:pt>
                <c:pt idx="43" formatCode="_(&quot;$&quot;* #,##0.00_);_(&quot;$&quot;* \(#,##0.00\);_(&quot;$&quot;* &quot;-&quot;??_);_(@_)">
                  <c:v>221.02572676266732</c:v>
                </c:pt>
                <c:pt idx="44" formatCode="_(&quot;$&quot;* #,##0.00_);_(&quot;$&quot;* \(#,##0.00\);_(&quot;$&quot;* &quot;-&quot;??_);_(@_)">
                  <c:v>193.258192755952</c:v>
                </c:pt>
                <c:pt idx="45" formatCode="_(&quot;$&quot;* #,##0.00_);_(&quot;$&quot;* \(#,##0.00\);_(&quot;$&quot;* &quot;-&quot;??_);_(@_)">
                  <c:v>176.29719572396903</c:v>
                </c:pt>
                <c:pt idx="46" formatCode="_(&quot;$&quot;* #,##0.00_);_(&quot;$&quot;* \(#,##0.00\);_(&quot;$&quot;* &quot;-&quot;??_);_(@_)">
                  <c:v>140.53288305606816</c:v>
                </c:pt>
                <c:pt idx="47" formatCode="_(&quot;$&quot;* #,##0.00_);_(&quot;$&quot;* \(#,##0.00\);_(&quot;$&quot;* &quot;-&quot;??_);_(@_)">
                  <c:v>149.7380190629251</c:v>
                </c:pt>
                <c:pt idx="48" formatCode="_(&quot;$&quot;* #,##0.00_);_(&quot;$&quot;* \(#,##0.00\);_(&quot;$&quot;* &quot;-&quot;??_);_(@_)">
                  <c:v>138.93596183392606</c:v>
                </c:pt>
                <c:pt idx="49" formatCode="_(&quot;$&quot;* #,##0.00_);_(&quot;$&quot;* \(#,##0.00\);_(&quot;$&quot;* &quot;-&quot;??_);_(@_)">
                  <c:v>295.61182490367014</c:v>
                </c:pt>
                <c:pt idx="50" formatCode="_(&quot;$&quot;* #,##0.00_);_(&quot;$&quot;* \(#,##0.00\);_(&quot;$&quot;* &quot;-&quot;??_);_(@_)">
                  <c:v>251.73643826878742</c:v>
                </c:pt>
                <c:pt idx="51" formatCode="_(&quot;$&quot;* #,##0.00_);_(&quot;$&quot;* \(#,##0.00\);_(&quot;$&quot;* &quot;-&quot;??_);_(@_)">
                  <c:v>174.58276613702151</c:v>
                </c:pt>
                <c:pt idx="52" formatCode="_(&quot;$&quot;* #,##0.00_);_(&quot;$&quot;* \(#,##0.00\);_(&quot;$&quot;* &quot;-&quot;??_);_(@_)">
                  <c:v>157.48692875846496</c:v>
                </c:pt>
                <c:pt idx="53" formatCode="_(&quot;$&quot;* #,##0.00_);_(&quot;$&quot;* \(#,##0.00\);_(&quot;$&quot;* &quot;-&quot;??_);_(@_)">
                  <c:v>176.10932445635194</c:v>
                </c:pt>
                <c:pt idx="54" formatCode="_(&quot;$&quot;* #,##0.00_);_(&quot;$&quot;* \(#,##0.00\);_(&quot;$&quot;* &quot;-&quot;??_);_(@_)">
                  <c:v>210.02932580583683</c:v>
                </c:pt>
                <c:pt idx="55" formatCode="_(&quot;$&quot;* #,##0.00_);_(&quot;$&quot;* \(#,##0.00\);_(&quot;$&quot;* &quot;-&quot;??_);_(@_)">
                  <c:v>230.44993778328353</c:v>
                </c:pt>
                <c:pt idx="56" formatCode="_(&quot;$&quot;* #,##0.00_);_(&quot;$&quot;* \(#,##0.00\);_(&quot;$&quot;* &quot;-&quot;??_);_(@_)">
                  <c:v>208.95461935700951</c:v>
                </c:pt>
                <c:pt idx="57" formatCode="_(&quot;$&quot;* #,##0.00_);_(&quot;$&quot;* \(#,##0.00\);_(&quot;$&quot;* &quot;-&quot;??_);_(@_)">
                  <c:v>208.14106663703683</c:v>
                </c:pt>
                <c:pt idx="58" formatCode="_(&quot;$&quot;* #,##0.00_);_(&quot;$&quot;* \(#,##0.00\);_(&quot;$&quot;* &quot;-&quot;??_);_(@_)">
                  <c:v>85.179785403805454</c:v>
                </c:pt>
                <c:pt idx="59" formatCode="_(&quot;$&quot;* #,##0.00_);_(&quot;$&quot;* \(#,##0.00\);_(&quot;$&quot;* &quot;-&quot;??_);_(@_)">
                  <c:v>66.642952849425228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4-0A42-8E6D-C84FE703DE7B}"/>
            </c:ext>
          </c:extLst>
        </c:ser>
        <c:ser>
          <c:idx val="2"/>
          <c:order val="2"/>
          <c:tx>
            <c:strRef>
              <c:f>Returns!$S$18</c:f>
              <c:strCache>
                <c:ptCount val="1"/>
                <c:pt idx="0">
                  <c:v>Church &amp; Dwight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Returns!$S$19:$S$78</c:f>
              <c:numCache>
                <c:formatCode>General</c:formatCode>
                <c:ptCount val="60"/>
                <c:pt idx="2" formatCode="_(&quot;$&quot;* #,##0.00_);_(&quot;$&quot;* \(#,##0.00\);_(&quot;$&quot;* &quot;-&quot;??_);_(@_)">
                  <c:v>41.721269189542227</c:v>
                </c:pt>
                <c:pt idx="3" formatCode="_(&quot;$&quot;* #,##0.00_);_(&quot;$&quot;* \(#,##0.00\);_(&quot;$&quot;* &quot;-&quot;??_);_(@_)">
                  <c:v>48.971872180475202</c:v>
                </c:pt>
                <c:pt idx="4" formatCode="_(&quot;$&quot;* #,##0.00_);_(&quot;$&quot;* \(#,##0.00\);_(&quot;$&quot;* &quot;-&quot;??_);_(@_)">
                  <c:v>78.75675218141464</c:v>
                </c:pt>
                <c:pt idx="5" formatCode="_(&quot;$&quot;* #,##0.00_);_(&quot;$&quot;* \(#,##0.00\);_(&quot;$&quot;* &quot;-&quot;??_);_(@_)">
                  <c:v>-10.354293130870133</c:v>
                </c:pt>
                <c:pt idx="6" formatCode="_(&quot;$&quot;* #,##0.00_);_(&quot;$&quot;* \(#,##0.00\);_(&quot;$&quot;* &quot;-&quot;??_);_(@_)">
                  <c:v>5.711463562509266</c:v>
                </c:pt>
                <c:pt idx="7" formatCode="_(&quot;$&quot;* #,##0.00_);_(&quot;$&quot;* \(#,##0.00\);_(&quot;$&quot;* &quot;-&quot;??_);_(@_)">
                  <c:v>143.99007740399225</c:v>
                </c:pt>
                <c:pt idx="8" formatCode="_(&quot;$&quot;* #,##0.00_);_(&quot;$&quot;* \(#,##0.00\);_(&quot;$&quot;* &quot;-&quot;??_);_(@_)">
                  <c:v>202.9541829352147</c:v>
                </c:pt>
                <c:pt idx="9" formatCode="_(&quot;$&quot;* #,##0.00_);_(&quot;$&quot;* \(#,##0.00\);_(&quot;$&quot;* &quot;-&quot;??_);_(@_)">
                  <c:v>217.58752305546864</c:v>
                </c:pt>
                <c:pt idx="10" formatCode="_(&quot;$&quot;* #,##0.00_);_(&quot;$&quot;* \(#,##0.00\);_(&quot;$&quot;* &quot;-&quot;??_);_(@_)">
                  <c:v>282.63059234675598</c:v>
                </c:pt>
                <c:pt idx="11" formatCode="_(&quot;$&quot;* #,##0.00_);_(&quot;$&quot;* \(#,##0.00\);_(&quot;$&quot;* &quot;-&quot;??_);_(@_)">
                  <c:v>282.63059234675598</c:v>
                </c:pt>
                <c:pt idx="12" formatCode="_(&quot;$&quot;* #,##0.00_);_(&quot;$&quot;* \(#,##0.00\);_(&quot;$&quot;* &quot;-&quot;??_);_(@_)">
                  <c:v>429.97013074819188</c:v>
                </c:pt>
                <c:pt idx="13" formatCode="_(&quot;$&quot;* #,##0.00_);_(&quot;$&quot;* \(#,##0.00\);_(&quot;$&quot;* &quot;-&quot;??_);_(@_)">
                  <c:v>425.42173775909464</c:v>
                </c:pt>
                <c:pt idx="14" formatCode="_(&quot;$&quot;* #,##0.00_);_(&quot;$&quot;* \(#,##0.00\);_(&quot;$&quot;* &quot;-&quot;??_);_(@_)">
                  <c:v>400.49413044697394</c:v>
                </c:pt>
                <c:pt idx="15" formatCode="_(&quot;$&quot;* #,##0.00_);_(&quot;$&quot;* \(#,##0.00\);_(&quot;$&quot;* &quot;-&quot;??_);_(@_)">
                  <c:v>426.2886229401272</c:v>
                </c:pt>
                <c:pt idx="16" formatCode="_(&quot;$&quot;* #,##0.00_);_(&quot;$&quot;* \(#,##0.00\);_(&quot;$&quot;* &quot;-&quot;??_);_(@_)">
                  <c:v>549.44015611096415</c:v>
                </c:pt>
                <c:pt idx="17" formatCode="_(&quot;$&quot;* #,##0.00_);_(&quot;$&quot;* \(#,##0.00\);_(&quot;$&quot;* &quot;-&quot;??_);_(@_)">
                  <c:v>630.36031295275848</c:v>
                </c:pt>
                <c:pt idx="18" formatCode="_(&quot;$&quot;* #,##0.00_);_(&quot;$&quot;* \(#,##0.00\);_(&quot;$&quot;* &quot;-&quot;??_);_(@_)">
                  <c:v>618.61363565370289</c:v>
                </c:pt>
                <c:pt idx="19" formatCode="_(&quot;$&quot;* #,##0.00_);_(&quot;$&quot;* \(#,##0.00\);_(&quot;$&quot;* &quot;-&quot;??_);_(@_)">
                  <c:v>594.16544245940213</c:v>
                </c:pt>
                <c:pt idx="20" formatCode="_(&quot;$&quot;* #,##0.00_);_(&quot;$&quot;* \(#,##0.00\);_(&quot;$&quot;* &quot;-&quot;??_);_(@_)">
                  <c:v>646.09651636017338</c:v>
                </c:pt>
                <c:pt idx="21" formatCode="_(&quot;$&quot;* #,##0.00_);_(&quot;$&quot;* \(#,##0.00\);_(&quot;$&quot;* &quot;-&quot;??_);_(@_)">
                  <c:v>740.7951197279458</c:v>
                </c:pt>
                <c:pt idx="22" formatCode="_(&quot;$&quot;* #,##0.00_);_(&quot;$&quot;* \(#,##0.00\);_(&quot;$&quot;* &quot;-&quot;??_);_(@_)">
                  <c:v>646.51919145785496</c:v>
                </c:pt>
                <c:pt idx="23" formatCode="_(&quot;$&quot;* #,##0.00_);_(&quot;$&quot;* \(#,##0.00\);_(&quot;$&quot;* &quot;-&quot;??_);_(@_)">
                  <c:v>530.53645100081189</c:v>
                </c:pt>
                <c:pt idx="24" formatCode="_(&quot;$&quot;* #,##0.00_);_(&quot;$&quot;* \(#,##0.00\);_(&quot;$&quot;* &quot;-&quot;??_);_(@_)">
                  <c:v>537.10131204280356</c:v>
                </c:pt>
                <c:pt idx="25" formatCode="_(&quot;$&quot;* #,##0.00_);_(&quot;$&quot;* \(#,##0.00\);_(&quot;$&quot;* &quot;-&quot;??_);_(@_)">
                  <c:v>544.65941196069411</c:v>
                </c:pt>
                <c:pt idx="26" formatCode="_(&quot;$&quot;* #,##0.00_);_(&quot;$&quot;* \(#,##0.00\);_(&quot;$&quot;* &quot;-&quot;??_);_(@_)">
                  <c:v>629.63220375306287</c:v>
                </c:pt>
                <c:pt idx="27" formatCode="_(&quot;$&quot;* #,##0.00_);_(&quot;$&quot;* \(#,##0.00\);_(&quot;$&quot;* &quot;-&quot;??_);_(@_)">
                  <c:v>526.43521498784207</c:v>
                </c:pt>
                <c:pt idx="28" formatCode="_(&quot;$&quot;* #,##0.00_);_(&quot;$&quot;* \(#,##0.00\);_(&quot;$&quot;* &quot;-&quot;??_);_(@_)">
                  <c:v>413.66934802173478</c:v>
                </c:pt>
                <c:pt idx="29" formatCode="_(&quot;$&quot;* #,##0.00_);_(&quot;$&quot;* \(#,##0.00\);_(&quot;$&quot;* &quot;-&quot;??_);_(@_)">
                  <c:v>541.64392458837892</c:v>
                </c:pt>
                <c:pt idx="30" formatCode="_(&quot;$&quot;* #,##0.00_);_(&quot;$&quot;* \(#,##0.00\);_(&quot;$&quot;* &quot;-&quot;??_);_(@_)">
                  <c:v>653.53959678618185</c:v>
                </c:pt>
                <c:pt idx="31" formatCode="_(&quot;$&quot;* #,##0.00_);_(&quot;$&quot;* \(#,##0.00\);_(&quot;$&quot;* &quot;-&quot;??_);_(@_)">
                  <c:v>708.24040987016838</c:v>
                </c:pt>
                <c:pt idx="32" formatCode="_(&quot;$&quot;* #,##0.00_);_(&quot;$&quot;* \(#,##0.00\);_(&quot;$&quot;* &quot;-&quot;??_);_(@_)">
                  <c:v>1128.7819571820105</c:v>
                </c:pt>
                <c:pt idx="33" formatCode="_(&quot;$&quot;* #,##0.00_);_(&quot;$&quot;* \(#,##0.00\);_(&quot;$&quot;* &quot;-&quot;??_);_(@_)">
                  <c:v>1117.731902666761</c:v>
                </c:pt>
                <c:pt idx="34" formatCode="_(&quot;$&quot;* #,##0.00_);_(&quot;$&quot;* \(#,##0.00\);_(&quot;$&quot;* &quot;-&quot;??_);_(@_)">
                  <c:v>1076.1369645036793</c:v>
                </c:pt>
                <c:pt idx="35" formatCode="_(&quot;$&quot;* #,##0.00_);_(&quot;$&quot;* \(#,##0.00\);_(&quot;$&quot;* &quot;-&quot;??_);_(@_)">
                  <c:v>958.27272368287618</c:v>
                </c:pt>
                <c:pt idx="36" formatCode="_(&quot;$&quot;* #,##0.00_);_(&quot;$&quot;* \(#,##0.00\);_(&quot;$&quot;* &quot;-&quot;??_);_(@_)">
                  <c:v>944.53682575490006</c:v>
                </c:pt>
                <c:pt idx="37" formatCode="_(&quot;$&quot;* #,##0.00_);_(&quot;$&quot;* \(#,##0.00\);_(&quot;$&quot;* &quot;-&quot;??_);_(@_)">
                  <c:v>937.88877166300585</c:v>
                </c:pt>
                <c:pt idx="38" formatCode="_(&quot;$&quot;* #,##0.00_);_(&quot;$&quot;* \(#,##0.00\);_(&quot;$&quot;* &quot;-&quot;??_);_(@_)">
                  <c:v>875.68417216182843</c:v>
                </c:pt>
                <c:pt idx="39" formatCode="_(&quot;$&quot;* #,##0.00_);_(&quot;$&quot;* \(#,##0.00\);_(&quot;$&quot;* &quot;-&quot;??_);_(@_)">
                  <c:v>749.49829150491064</c:v>
                </c:pt>
                <c:pt idx="40" formatCode="_(&quot;$&quot;* #,##0.00_);_(&quot;$&quot;* \(#,##0.00\);_(&quot;$&quot;* &quot;-&quot;??_);_(@_)">
                  <c:v>946.50807033788783</c:v>
                </c:pt>
                <c:pt idx="41" formatCode="_(&quot;$&quot;* #,##0.00_);_(&quot;$&quot;* \(#,##0.00\);_(&quot;$&quot;* &quot;-&quot;??_);_(@_)">
                  <c:v>910.63071620692676</c:v>
                </c:pt>
                <c:pt idx="42" formatCode="_(&quot;$&quot;* #,##0.00_);_(&quot;$&quot;* \(#,##0.00\);_(&quot;$&quot;* &quot;-&quot;??_);_(@_)">
                  <c:v>910.40779510263633</c:v>
                </c:pt>
                <c:pt idx="43" formatCode="_(&quot;$&quot;* #,##0.00_);_(&quot;$&quot;* \(#,##0.00\);_(&quot;$&quot;* &quot;-&quot;??_);_(@_)">
                  <c:v>904.55633146486775</c:v>
                </c:pt>
                <c:pt idx="44" formatCode="_(&quot;$&quot;* #,##0.00_);_(&quot;$&quot;* \(#,##0.00\);_(&quot;$&quot;* &quot;-&quot;??_);_(@_)">
                  <c:v>934.95042487620003</c:v>
                </c:pt>
                <c:pt idx="45" formatCode="_(&quot;$&quot;* #,##0.00_);_(&quot;$&quot;* \(#,##0.00\);_(&quot;$&quot;* &quot;-&quot;??_);_(@_)">
                  <c:v>869.69227774908745</c:v>
                </c:pt>
                <c:pt idx="46" formatCode="_(&quot;$&quot;* #,##0.00_);_(&quot;$&quot;* \(#,##0.00\);_(&quot;$&quot;* &quot;-&quot;??_);_(@_)">
                  <c:v>850.88575209532019</c:v>
                </c:pt>
                <c:pt idx="47" formatCode="_(&quot;$&quot;* #,##0.00_);_(&quot;$&quot;* \(#,##0.00\);_(&quot;$&quot;* &quot;-&quot;??_);_(@_)">
                  <c:v>958.25819323465089</c:v>
                </c:pt>
                <c:pt idx="48" formatCode="_(&quot;$&quot;* #,##0.00_);_(&quot;$&quot;* \(#,##0.00\);_(&quot;$&quot;* &quot;-&quot;??_);_(@_)">
                  <c:v>1003.5384701664057</c:v>
                </c:pt>
                <c:pt idx="49" formatCode="_(&quot;$&quot;* #,##0.00_);_(&quot;$&quot;* \(#,##0.00\);_(&quot;$&quot;* &quot;-&quot;??_);_(@_)">
                  <c:v>1304.0919963706974</c:v>
                </c:pt>
                <c:pt idx="50" formatCode="_(&quot;$&quot;* #,##0.00_);_(&quot;$&quot;* \(#,##0.00\);_(&quot;$&quot;* &quot;-&quot;??_);_(@_)">
                  <c:v>1307.4637630796142</c:v>
                </c:pt>
                <c:pt idx="51" formatCode="_(&quot;$&quot;* #,##0.00_);_(&quot;$&quot;* \(#,##0.00\);_(&quot;$&quot;* &quot;-&quot;??_);_(@_)">
                  <c:v>1199.5646895328323</c:v>
                </c:pt>
                <c:pt idx="52" formatCode="_(&quot;$&quot;* #,##0.00_);_(&quot;$&quot;* \(#,##0.00\);_(&quot;$&quot;* &quot;-&quot;??_);_(@_)">
                  <c:v>1239.9751354788623</c:v>
                </c:pt>
                <c:pt idx="53" formatCode="_(&quot;$&quot;* #,##0.00_);_(&quot;$&quot;* \(#,##0.00\);_(&quot;$&quot;* &quot;-&quot;??_);_(@_)">
                  <c:v>1198.9533226238718</c:v>
                </c:pt>
                <c:pt idx="54" formatCode="_(&quot;$&quot;* #,##0.00_);_(&quot;$&quot;* \(#,##0.00\);_(&quot;$&quot;* &quot;-&quot;??_);_(@_)">
                  <c:v>1029.9070627091082</c:v>
                </c:pt>
                <c:pt idx="55" formatCode="_(&quot;$&quot;* #,##0.00_);_(&quot;$&quot;* \(#,##0.00\);_(&quot;$&quot;* &quot;-&quot;??_);_(@_)">
                  <c:v>1094.1475797554999</c:v>
                </c:pt>
                <c:pt idx="56" formatCode="_(&quot;$&quot;* #,##0.00_);_(&quot;$&quot;* \(#,##0.00\);_(&quot;$&quot;* &quot;-&quot;??_);_(@_)">
                  <c:v>988.15194958945517</c:v>
                </c:pt>
                <c:pt idx="57" formatCode="_(&quot;$&quot;* #,##0.00_);_(&quot;$&quot;* \(#,##0.00\);_(&quot;$&quot;* &quot;-&quot;??_);_(@_)">
                  <c:v>891.87453708281487</c:v>
                </c:pt>
                <c:pt idx="58" formatCode="_(&quot;$&quot;* #,##0.00_);_(&quot;$&quot;* \(#,##0.00\);_(&quot;$&quot;* &quot;-&quot;??_);_(@_)">
                  <c:v>619.43096769929025</c:v>
                </c:pt>
                <c:pt idx="59" formatCode="_(&quot;$&quot;* #,##0.00_);_(&quot;$&quot;* \(#,##0.00\);_(&quot;$&quot;* &quot;-&quot;??_);_(@_)">
                  <c:v>630.08516384111817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A4-0A42-8E6D-C84FE703DE7B}"/>
            </c:ext>
          </c:extLst>
        </c:ser>
        <c:ser>
          <c:idx val="3"/>
          <c:order val="3"/>
          <c:tx>
            <c:strRef>
              <c:f>Returns!$T$18</c:f>
              <c:strCache>
                <c:ptCount val="1"/>
                <c:pt idx="0">
                  <c:v>Unilever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Returns!$T$19:$T$78</c:f>
              <c:numCache>
                <c:formatCode>General</c:formatCode>
                <c:ptCount val="60"/>
                <c:pt idx="2" formatCode="_(&quot;$&quot;* #,##0.00_);_(&quot;$&quot;* \(#,##0.00\);_(&quot;$&quot;* &quot;-&quot;??_);_(@_)">
                  <c:v>7.3900074064341652</c:v>
                </c:pt>
                <c:pt idx="3" formatCode="_(&quot;$&quot;* #,##0.00_);_(&quot;$&quot;* \(#,##0.00\);_(&quot;$&quot;* &quot;-&quot;??_);_(@_)">
                  <c:v>-79.487710740571174</c:v>
                </c:pt>
                <c:pt idx="4" formatCode="_(&quot;$&quot;* #,##0.00_);_(&quot;$&quot;* \(#,##0.00\);_(&quot;$&quot;* &quot;-&quot;??_);_(@_)">
                  <c:v>-0.49904897896760758</c:v>
                </c:pt>
                <c:pt idx="5" formatCode="_(&quot;$&quot;* #,##0.00_);_(&quot;$&quot;* \(#,##0.00\);_(&quot;$&quot;* &quot;-&quot;??_);_(@_)">
                  <c:v>6.8766926924026848</c:v>
                </c:pt>
                <c:pt idx="6" formatCode="_(&quot;$&quot;* #,##0.00_);_(&quot;$&quot;* \(#,##0.00\);_(&quot;$&quot;* &quot;-&quot;??_);_(@_)">
                  <c:v>-5.5360492607576361</c:v>
                </c:pt>
                <c:pt idx="7" formatCode="_(&quot;$&quot;* #,##0.00_);_(&quot;$&quot;* \(#,##0.00\);_(&quot;$&quot;* &quot;-&quot;??_);_(@_)">
                  <c:v>3.4025876029421624</c:v>
                </c:pt>
                <c:pt idx="8" formatCode="_(&quot;$&quot;* #,##0.00_);_(&quot;$&quot;* \(#,##0.00\);_(&quot;$&quot;* &quot;-&quot;??_);_(@_)">
                  <c:v>34.804365583461049</c:v>
                </c:pt>
                <c:pt idx="9" formatCode="_(&quot;$&quot;* #,##0.00_);_(&quot;$&quot;* \(#,##0.00\);_(&quot;$&quot;* &quot;-&quot;??_);_(@_)">
                  <c:v>32.263134672063643</c:v>
                </c:pt>
                <c:pt idx="10" formatCode="_(&quot;$&quot;* #,##0.00_);_(&quot;$&quot;* \(#,##0.00\);_(&quot;$&quot;* &quot;-&quot;??_);_(@_)">
                  <c:v>5.7674268960798827</c:v>
                </c:pt>
                <c:pt idx="11" formatCode="_(&quot;$&quot;* #,##0.00_);_(&quot;$&quot;* \(#,##0.00\);_(&quot;$&quot;* &quot;-&quot;??_);_(@_)">
                  <c:v>-30.642882833168073</c:v>
                </c:pt>
                <c:pt idx="12" formatCode="_(&quot;$&quot;* #,##0.00_);_(&quot;$&quot;* \(#,##0.00\);_(&quot;$&quot;* &quot;-&quot;??_);_(@_)">
                  <c:v>-6.6741402335181874</c:v>
                </c:pt>
                <c:pt idx="13" formatCode="_(&quot;$&quot;* #,##0.00_);_(&quot;$&quot;* \(#,##0.00\);_(&quot;$&quot;* &quot;-&quot;??_);_(@_)">
                  <c:v>-35.828414591799174</c:v>
                </c:pt>
                <c:pt idx="14" formatCode="_(&quot;$&quot;* #,##0.00_);_(&quot;$&quot;* \(#,##0.00\);_(&quot;$&quot;* &quot;-&quot;??_);_(@_)">
                  <c:v>-29.369707936766758</c:v>
                </c:pt>
                <c:pt idx="15" formatCode="_(&quot;$&quot;* #,##0.00_);_(&quot;$&quot;* \(#,##0.00\);_(&quot;$&quot;* &quot;-&quot;??_);_(@_)">
                  <c:v>-17.744098894774766</c:v>
                </c:pt>
                <c:pt idx="16" formatCode="_(&quot;$&quot;* #,##0.00_);_(&quot;$&quot;* \(#,##0.00\);_(&quot;$&quot;* &quot;-&quot;??_);_(@_)">
                  <c:v>73.775416714708626</c:v>
                </c:pt>
                <c:pt idx="17" formatCode="_(&quot;$&quot;* #,##0.00_);_(&quot;$&quot;* \(#,##0.00\);_(&quot;$&quot;* &quot;-&quot;??_);_(@_)">
                  <c:v>131.07311222786666</c:v>
                </c:pt>
                <c:pt idx="18" formatCode="_(&quot;$&quot;* #,##0.00_);_(&quot;$&quot;* \(#,##0.00\);_(&quot;$&quot;* &quot;-&quot;??_);_(@_)">
                  <c:v>133.11953192277133</c:v>
                </c:pt>
                <c:pt idx="19" formatCode="_(&quot;$&quot;* #,##0.00_);_(&quot;$&quot;* \(#,##0.00\);_(&quot;$&quot;* &quot;-&quot;??_);_(@_)">
                  <c:v>161.78616989013562</c:v>
                </c:pt>
                <c:pt idx="20" formatCode="_(&quot;$&quot;* #,##0.00_);_(&quot;$&quot;* \(#,##0.00\);_(&quot;$&quot;* &quot;-&quot;??_);_(@_)">
                  <c:v>127.10306305471727</c:v>
                </c:pt>
                <c:pt idx="21" formatCode="_(&quot;$&quot;* #,##0.00_);_(&quot;$&quot;* \(#,##0.00\);_(&quot;$&quot;* &quot;-&quot;??_);_(@_)">
                  <c:v>184.47068164870984</c:v>
                </c:pt>
                <c:pt idx="22" formatCode="_(&quot;$&quot;* #,##0.00_);_(&quot;$&quot;* \(#,##0.00\);_(&quot;$&quot;* &quot;-&quot;??_);_(@_)">
                  <c:v>135.50404953868838</c:v>
                </c:pt>
                <c:pt idx="23" formatCode="_(&quot;$&quot;* #,##0.00_);_(&quot;$&quot;* \(#,##0.00\);_(&quot;$&quot;* &quot;-&quot;??_);_(@_)">
                  <c:v>135.69292367512867</c:v>
                </c:pt>
                <c:pt idx="24" formatCode="_(&quot;$&quot;* #,##0.00_);_(&quot;$&quot;* \(#,##0.00\);_(&quot;$&quot;* &quot;-&quot;??_);_(@_)">
                  <c:v>132.48770671259922</c:v>
                </c:pt>
                <c:pt idx="25" formatCode="_(&quot;$&quot;* #,##0.00_);_(&quot;$&quot;* \(#,##0.00\);_(&quot;$&quot;* &quot;-&quot;??_);_(@_)">
                  <c:v>88.322627318748573</c:v>
                </c:pt>
                <c:pt idx="26" formatCode="_(&quot;$&quot;* #,##0.00_);_(&quot;$&quot;* \(#,##0.00\);_(&quot;$&quot;* &quot;-&quot;??_);_(@_)">
                  <c:v>137.8179307870173</c:v>
                </c:pt>
                <c:pt idx="27" formatCode="_(&quot;$&quot;* #,##0.00_);_(&quot;$&quot;* \(#,##0.00\);_(&quot;$&quot;* &quot;-&quot;??_);_(@_)">
                  <c:v>26.643924567492604</c:v>
                </c:pt>
                <c:pt idx="28" formatCode="_(&quot;$&quot;* #,##0.00_);_(&quot;$&quot;* \(#,##0.00\);_(&quot;$&quot;* &quot;-&quot;??_);_(@_)">
                  <c:v>-30.005686993324957</c:v>
                </c:pt>
                <c:pt idx="29" formatCode="_(&quot;$&quot;* #,##0.00_);_(&quot;$&quot;* \(#,##0.00\);_(&quot;$&quot;* &quot;-&quot;??_);_(@_)">
                  <c:v>-5.069979304614094</c:v>
                </c:pt>
                <c:pt idx="30" formatCode="_(&quot;$&quot;* #,##0.00_);_(&quot;$&quot;* \(#,##0.00\);_(&quot;$&quot;* &quot;-&quot;??_);_(@_)">
                  <c:v>36.745134922804937</c:v>
                </c:pt>
                <c:pt idx="31" formatCode="_(&quot;$&quot;* #,##0.00_);_(&quot;$&quot;* \(#,##0.00\);_(&quot;$&quot;* &quot;-&quot;??_);_(@_)">
                  <c:v>61.79058387639634</c:v>
                </c:pt>
                <c:pt idx="32" formatCode="_(&quot;$&quot;* #,##0.00_);_(&quot;$&quot;* \(#,##0.00\);_(&quot;$&quot;* &quot;-&quot;??_);_(@_)">
                  <c:v>170.13659693071872</c:v>
                </c:pt>
                <c:pt idx="33" formatCode="_(&quot;$&quot;* #,##0.00_);_(&quot;$&quot;* \(#,##0.00\);_(&quot;$&quot;* &quot;-&quot;??_);_(@_)">
                  <c:v>152.72390364888975</c:v>
                </c:pt>
                <c:pt idx="34" formatCode="_(&quot;$&quot;* #,##0.00_);_(&quot;$&quot;* \(#,##0.00\);_(&quot;$&quot;* &quot;-&quot;??_);_(@_)">
                  <c:v>202.57245189216496</c:v>
                </c:pt>
                <c:pt idx="35" formatCode="_(&quot;$&quot;* #,##0.00_);_(&quot;$&quot;* \(#,##0.00\);_(&quot;$&quot;* &quot;-&quot;??_);_(@_)">
                  <c:v>108.01229974893977</c:v>
                </c:pt>
                <c:pt idx="36" formatCode="_(&quot;$&quot;* #,##0.00_);_(&quot;$&quot;* \(#,##0.00\);_(&quot;$&quot;* &quot;-&quot;??_);_(@_)">
                  <c:v>200.46080841738763</c:v>
                </c:pt>
                <c:pt idx="37" formatCode="_(&quot;$&quot;* #,##0.00_);_(&quot;$&quot;* \(#,##0.00\);_(&quot;$&quot;* &quot;-&quot;??_);_(@_)">
                  <c:v>186.69852792719007</c:v>
                </c:pt>
                <c:pt idx="38" formatCode="_(&quot;$&quot;* #,##0.00_);_(&quot;$&quot;* \(#,##0.00\);_(&quot;$&quot;* &quot;-&quot;??_);_(@_)">
                  <c:v>146.9846515795607</c:v>
                </c:pt>
                <c:pt idx="39" formatCode="_(&quot;$&quot;* #,##0.00_);_(&quot;$&quot;* \(#,##0.00\);_(&quot;$&quot;* &quot;-&quot;??_);_(@_)">
                  <c:v>23.517693623367222</c:v>
                </c:pt>
                <c:pt idx="40" formatCode="_(&quot;$&quot;* #,##0.00_);_(&quot;$&quot;* \(#,##0.00\);_(&quot;$&quot;* &quot;-&quot;??_);_(@_)">
                  <c:v>108.1345025529788</c:v>
                </c:pt>
                <c:pt idx="41" formatCode="_(&quot;$&quot;* #,##0.00_);_(&quot;$&quot;* \(#,##0.00\);_(&quot;$&quot;* &quot;-&quot;??_);_(@_)">
                  <c:v>165.4961421256578</c:v>
                </c:pt>
                <c:pt idx="42" formatCode="_(&quot;$&quot;* #,##0.00_);_(&quot;$&quot;* \(#,##0.00\);_(&quot;$&quot;* &quot;-&quot;??_);_(@_)">
                  <c:v>190.30677288429433</c:v>
                </c:pt>
                <c:pt idx="43" formatCode="_(&quot;$&quot;* #,##0.00_);_(&quot;$&quot;* \(#,##0.00\);_(&quot;$&quot;* &quot;-&quot;??_);_(@_)">
                  <c:v>171.10790467736479</c:v>
                </c:pt>
                <c:pt idx="44" formatCode="_(&quot;$&quot;* #,##0.00_);_(&quot;$&quot;* \(#,##0.00\);_(&quot;$&quot;* &quot;-&quot;??_);_(@_)">
                  <c:v>151.68953296165159</c:v>
                </c:pt>
                <c:pt idx="45" formatCode="_(&quot;$&quot;* #,##0.00_);_(&quot;$&quot;* \(#,##0.00\);_(&quot;$&quot;* &quot;-&quot;??_);_(@_)">
                  <c:v>114.65459382683002</c:v>
                </c:pt>
                <c:pt idx="46" formatCode="_(&quot;$&quot;* #,##0.00_);_(&quot;$&quot;* \(#,##0.00\);_(&quot;$&quot;* &quot;-&quot;??_);_(@_)">
                  <c:v>95.024375945419251</c:v>
                </c:pt>
                <c:pt idx="47" formatCode="_(&quot;$&quot;* #,##0.00_);_(&quot;$&quot;* \(#,##0.00\);_(&quot;$&quot;* &quot;-&quot;??_);_(@_)">
                  <c:v>82.09888571182546</c:v>
                </c:pt>
                <c:pt idx="48" formatCode="_(&quot;$&quot;* #,##0.00_);_(&quot;$&quot;* \(#,##0.00\);_(&quot;$&quot;* &quot;-&quot;??_);_(@_)">
                  <c:v>26.96404346651957</c:v>
                </c:pt>
                <c:pt idx="49" formatCode="_(&quot;$&quot;* #,##0.00_);_(&quot;$&quot;* \(#,##0.00\);_(&quot;$&quot;* &quot;-&quot;??_);_(@_)">
                  <c:v>96.440480919746733</c:v>
                </c:pt>
                <c:pt idx="50" formatCode="_(&quot;$&quot;* #,##0.00_);_(&quot;$&quot;* \(#,##0.00\);_(&quot;$&quot;* &quot;-&quot;??_);_(@_)">
                  <c:v>47.519562098995948</c:v>
                </c:pt>
                <c:pt idx="51" formatCode="_(&quot;$&quot;* #,##0.00_);_(&quot;$&quot;* \(#,##0.00\);_(&quot;$&quot;* &quot;-&quot;??_);_(@_)">
                  <c:v>24.689707674948068</c:v>
                </c:pt>
                <c:pt idx="52" formatCode="_(&quot;$&quot;* #,##0.00_);_(&quot;$&quot;* \(#,##0.00\);_(&quot;$&quot;* &quot;-&quot;??_);_(@_)">
                  <c:v>-62.263472014740273</c:v>
                </c:pt>
                <c:pt idx="53" formatCode="_(&quot;$&quot;* #,##0.00_);_(&quot;$&quot;* \(#,##0.00\);_(&quot;$&quot;* &quot;-&quot;??_);_(@_)">
                  <c:v>-48.064701989634273</c:v>
                </c:pt>
                <c:pt idx="54" formatCode="_(&quot;$&quot;* #,##0.00_);_(&quot;$&quot;* \(#,##0.00\);_(&quot;$&quot;* &quot;-&quot;??_);_(@_)">
                  <c:v>-5.4682660401832663</c:v>
                </c:pt>
                <c:pt idx="55" formatCode="_(&quot;$&quot;* #,##0.00_);_(&quot;$&quot;* \(#,##0.00\);_(&quot;$&quot;* &quot;-&quot;??_);_(@_)">
                  <c:v>-47.082107529069503</c:v>
                </c:pt>
                <c:pt idx="56" formatCode="_(&quot;$&quot;* #,##0.00_);_(&quot;$&quot;* \(#,##0.00\);_(&quot;$&quot;* &quot;-&quot;??_);_(@_)">
                  <c:v>11.760441217366861</c:v>
                </c:pt>
                <c:pt idx="57" formatCode="_(&quot;$&quot;* #,##0.00_);_(&quot;$&quot;* \(#,##0.00\);_(&quot;$&quot;* &quot;-&quot;??_);_(@_)">
                  <c:v>-56.230828320606292</c:v>
                </c:pt>
                <c:pt idx="58" formatCode="_(&quot;$&quot;* #,##0.00_);_(&quot;$&quot;* \(#,##0.00\);_(&quot;$&quot;* &quot;-&quot;??_);_(@_)">
                  <c:v>-80.279668826835064</c:v>
                </c:pt>
                <c:pt idx="59" formatCode="_(&quot;$&quot;* #,##0.00_);_(&quot;$&quot;* \(#,##0.00\);_(&quot;$&quot;* &quot;-&quot;??_);_(@_)">
                  <c:v>-91.188760346224853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A4-0A42-8E6D-C84FE703DE7B}"/>
            </c:ext>
          </c:extLst>
        </c:ser>
        <c:ser>
          <c:idx val="4"/>
          <c:order val="4"/>
          <c:tx>
            <c:strRef>
              <c:f>Returns!$U$18</c:f>
              <c:strCache>
                <c:ptCount val="1"/>
                <c:pt idx="0">
                  <c:v>SPY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Returns!$U$19:$U$78</c:f>
              <c:numCache>
                <c:formatCode>General</c:formatCode>
                <c:ptCount val="60"/>
                <c:pt idx="2" formatCode="_(&quot;$&quot;* #,##0.00_);_(&quot;$&quot;* \(#,##0.00\);_(&quot;$&quot;* &quot;-&quot;??_);_(@_)">
                  <c:v>69.170563732201572</c:v>
                </c:pt>
                <c:pt idx="3" formatCode="_(&quot;$&quot;* #,##0.00_);_(&quot;$&quot;* \(#,##0.00\);_(&quot;$&quot;* &quot;-&quot;??_);_(@_)">
                  <c:v>30.295180059541508</c:v>
                </c:pt>
                <c:pt idx="4" formatCode="_(&quot;$&quot;* #,##0.00_);_(&quot;$&quot;* \(#,##0.00\);_(&quot;$&quot;* &quot;-&quot;??_);_(@_)">
                  <c:v>-1.9430750725800863</c:v>
                </c:pt>
                <c:pt idx="5" formatCode="_(&quot;$&quot;* #,##0.00_);_(&quot;$&quot;* \(#,##0.00\);_(&quot;$&quot;* &quot;-&quot;??_);_(@_)">
                  <c:v>7.2328880047582516</c:v>
                </c:pt>
                <c:pt idx="6" formatCode="_(&quot;$&quot;* #,##0.00_);_(&quot;$&quot;* \(#,##0.00\);_(&quot;$&quot;* &quot;-&quot;??_);_(@_)">
                  <c:v>31.718041925385023</c:v>
                </c:pt>
                <c:pt idx="7" formatCode="_(&quot;$&quot;* #,##0.00_);_(&quot;$&quot;* \(#,##0.00\);_(&quot;$&quot;* &quot;-&quot;??_);_(@_)">
                  <c:v>33.012209516220537</c:v>
                </c:pt>
                <c:pt idx="8" formatCode="_(&quot;$&quot;* #,##0.00_);_(&quot;$&quot;* \(#,##0.00\);_(&quot;$&quot;* &quot;-&quot;??_);_(@_)">
                  <c:v>76.092553310576477</c:v>
                </c:pt>
                <c:pt idx="9" formatCode="_(&quot;$&quot;* #,##0.00_);_(&quot;$&quot;* \(#,##0.00\);_(&quot;$&quot;* &quot;-&quot;??_);_(@_)">
                  <c:v>110.44134603084512</c:v>
                </c:pt>
                <c:pt idx="10" formatCode="_(&quot;$&quot;* #,##0.00_);_(&quot;$&quot;* \(#,##0.00\);_(&quot;$&quot;* &quot;-&quot;??_);_(@_)">
                  <c:v>112.00983963275507</c:v>
                </c:pt>
                <c:pt idx="11" formatCode="_(&quot;$&quot;* #,##0.00_);_(&quot;$&quot;* \(#,##0.00\);_(&quot;$&quot;* &quot;-&quot;??_);_(@_)">
                  <c:v>39.850811191509365</c:v>
                </c:pt>
                <c:pt idx="12" formatCode="_(&quot;$&quot;* #,##0.00_);_(&quot;$&quot;* \(#,##0.00\);_(&quot;$&quot;* &quot;-&quot;??_);_(@_)">
                  <c:v>59.139705026899037</c:v>
                </c:pt>
                <c:pt idx="13" formatCode="_(&quot;$&quot;* #,##0.00_);_(&quot;$&quot;* \(#,##0.00\);_(&quot;$&quot;* &quot;-&quot;??_);_(@_)">
                  <c:v>-39.723876866327373</c:v>
                </c:pt>
                <c:pt idx="14" formatCode="_(&quot;$&quot;* #,##0.00_);_(&quot;$&quot;* \(#,##0.00\);_(&quot;$&quot;* &quot;-&quot;??_);_(@_)">
                  <c:v>43.217689785330776</c:v>
                </c:pt>
                <c:pt idx="15" formatCode="_(&quot;$&quot;* #,##0.00_);_(&quot;$&quot;* \(#,##0.00\);_(&quot;$&quot;* &quot;-&quot;??_);_(@_)">
                  <c:v>77.034722712154007</c:v>
                </c:pt>
                <c:pt idx="16" formatCode="_(&quot;$&quot;* #,##0.00_);_(&quot;$&quot;* \(#,##0.00\);_(&quot;$&quot;* &quot;-&quot;??_);_(@_)">
                  <c:v>91.720858420791046</c:v>
                </c:pt>
                <c:pt idx="17" formatCode="_(&quot;$&quot;* #,##0.00_);_(&quot;$&quot;* \(#,##0.00\);_(&quot;$&quot;* &quot;-&quot;??_);_(@_)">
                  <c:v>141.32526220343129</c:v>
                </c:pt>
                <c:pt idx="18" formatCode="_(&quot;$&quot;* #,##0.00_);_(&quot;$&quot;* \(#,##0.00\);_(&quot;$&quot;* &quot;-&quot;??_);_(@_)">
                  <c:v>68.541611943226826</c:v>
                </c:pt>
                <c:pt idx="19" formatCode="_(&quot;$&quot;* #,##0.00_);_(&quot;$&quot;* \(#,##0.00\);_(&quot;$&quot;* &quot;-&quot;??_);_(@_)">
                  <c:v>137.36607414049308</c:v>
                </c:pt>
                <c:pt idx="20" formatCode="_(&quot;$&quot;* #,##0.00_);_(&quot;$&quot;* \(#,##0.00\);_(&quot;$&quot;* &quot;-&quot;??_);_(@_)">
                  <c:v>160.17751166459129</c:v>
                </c:pt>
                <c:pt idx="21" formatCode="_(&quot;$&quot;* #,##0.00_);_(&quot;$&quot;* \(#,##0.00\);_(&quot;$&quot;* &quot;-&quot;??_);_(@_)">
                  <c:v>140.75240264711078</c:v>
                </c:pt>
                <c:pt idx="22" formatCode="_(&quot;$&quot;* #,##0.00_);_(&quot;$&quot;* \(#,##0.00\);_(&quot;$&quot;* &quot;-&quot;??_);_(@_)">
                  <c:v>157.60309982430022</c:v>
                </c:pt>
                <c:pt idx="23" formatCode="_(&quot;$&quot;* #,##0.00_);_(&quot;$&quot;* \(#,##0.00\);_(&quot;$&quot;* &quot;-&quot;??_);_(@_)">
                  <c:v>188.65567100182147</c:v>
                </c:pt>
                <c:pt idx="24" formatCode="_(&quot;$&quot;* #,##0.00_);_(&quot;$&quot;* \(#,##0.00\);_(&quot;$&quot;* &quot;-&quot;??_);_(@_)">
                  <c:v>231.68280509816805</c:v>
                </c:pt>
                <c:pt idx="25" formatCode="_(&quot;$&quot;* #,##0.00_);_(&quot;$&quot;* \(#,##0.00\);_(&quot;$&quot;* &quot;-&quot;??_);_(@_)">
                  <c:v>261.26902966823468</c:v>
                </c:pt>
                <c:pt idx="26" formatCode="_(&quot;$&quot;* #,##0.00_);_(&quot;$&quot;* \(#,##0.00\);_(&quot;$&quot;* &quot;-&quot;??_);_(@_)">
                  <c:v>266.95808804084027</c:v>
                </c:pt>
                <c:pt idx="27" formatCode="_(&quot;$&quot;* #,##0.00_);_(&quot;$&quot;* \(#,##0.00\);_(&quot;$&quot;* &quot;-&quot;??_);_(@_)">
                  <c:v>166.65840764978452</c:v>
                </c:pt>
                <c:pt idx="28" formatCode="_(&quot;$&quot;* #,##0.00_);_(&quot;$&quot;* \(#,##0.00\);_(&quot;$&quot;* &quot;-&quot;??_);_(@_)">
                  <c:v>15.007700746816113</c:v>
                </c:pt>
                <c:pt idx="29" formatCode="_(&quot;$&quot;* #,##0.00_);_(&quot;$&quot;* \(#,##0.00\);_(&quot;$&quot;* &quot;-&quot;??_);_(@_)">
                  <c:v>150.62338964847913</c:v>
                </c:pt>
                <c:pt idx="30" formatCode="_(&quot;$&quot;* #,##0.00_);_(&quot;$&quot;* \(#,##0.00\);_(&quot;$&quot;* &quot;-&quot;??_);_(@_)">
                  <c:v>205.44513179394539</c:v>
                </c:pt>
                <c:pt idx="31" formatCode="_(&quot;$&quot;* #,##0.00_);_(&quot;$&quot;* \(#,##0.00\);_(&quot;$&quot;* &quot;-&quot;??_);_(@_)">
                  <c:v>221.4478991258934</c:v>
                </c:pt>
                <c:pt idx="32" formatCode="_(&quot;$&quot;* #,##0.00_);_(&quot;$&quot;* \(#,##0.00\);_(&quot;$&quot;* &quot;-&quot;??_);_(@_)">
                  <c:v>299.07354966430967</c:v>
                </c:pt>
                <c:pt idx="33" formatCode="_(&quot;$&quot;* #,##0.00_);_(&quot;$&quot;* \(#,##0.00\);_(&quot;$&quot;* &quot;-&quot;??_);_(@_)">
                  <c:v>389.74444175668282</c:v>
                </c:pt>
                <c:pt idx="34" formatCode="_(&quot;$&quot;* #,##0.00_);_(&quot;$&quot;* \(#,##0.00\);_(&quot;$&quot;* &quot;-&quot;??_);_(@_)">
                  <c:v>332.37413600598643</c:v>
                </c:pt>
                <c:pt idx="35" formatCode="_(&quot;$&quot;* #,##0.00_);_(&quot;$&quot;* \(#,##0.00\);_(&quot;$&quot;* &quot;-&quot;??_);_(@_)">
                  <c:v>304.35376511309096</c:v>
                </c:pt>
                <c:pt idx="36" formatCode="_(&quot;$&quot;* #,##0.00_);_(&quot;$&quot;* \(#,##0.00\);_(&quot;$&quot;* &quot;-&quot;??_);_(@_)">
                  <c:v>446.23719869345427</c:v>
                </c:pt>
                <c:pt idx="37" formatCode="_(&quot;$&quot;* #,##0.00_);_(&quot;$&quot;* \(#,##0.00\);_(&quot;$&quot;* &quot;-&quot;??_);_(@_)">
                  <c:v>493.45165640494633</c:v>
                </c:pt>
                <c:pt idx="38" formatCode="_(&quot;$&quot;* #,##0.00_);_(&quot;$&quot;* \(#,##0.00\);_(&quot;$&quot;* &quot;-&quot;??_);_(@_)">
                  <c:v>484.5341386699256</c:v>
                </c:pt>
                <c:pt idx="39" formatCode="_(&quot;$&quot;* #,##0.00_);_(&quot;$&quot;* \(#,##0.00\);_(&quot;$&quot;* &quot;-&quot;??_);_(@_)">
                  <c:v>525.81220337777904</c:v>
                </c:pt>
                <c:pt idx="40" formatCode="_(&quot;$&quot;* #,##0.00_);_(&quot;$&quot;* \(#,##0.00\);_(&quot;$&quot;* &quot;-&quot;??_);_(@_)">
                  <c:v>589.87572990166836</c:v>
                </c:pt>
                <c:pt idx="41" formatCode="_(&quot;$&quot;* #,##0.00_);_(&quot;$&quot;* \(#,##0.00\);_(&quot;$&quot;* &quot;-&quot;??_);_(@_)">
                  <c:v>679.47958250749912</c:v>
                </c:pt>
                <c:pt idx="42" formatCode="_(&quot;$&quot;* #,##0.00_);_(&quot;$&quot;* \(#,##0.00\);_(&quot;$&quot;* &quot;-&quot;??_);_(@_)">
                  <c:v>690.50707859427325</c:v>
                </c:pt>
                <c:pt idx="43" formatCode="_(&quot;$&quot;* #,##0.00_);_(&quot;$&quot;* \(#,##0.00\);_(&quot;$&quot;* &quot;-&quot;??_);_(@_)">
                  <c:v>722.784550178475</c:v>
                </c:pt>
                <c:pt idx="44" formatCode="_(&quot;$&quot;* #,##0.00_);_(&quot;$&quot;* \(#,##0.00\);_(&quot;$&quot;* &quot;-&quot;??_);_(@_)">
                  <c:v>770.61591142429211</c:v>
                </c:pt>
                <c:pt idx="45" formatCode="_(&quot;$&quot;* #,##0.00_);_(&quot;$&quot;* \(#,##0.00\);_(&quot;$&quot;* &quot;-&quot;??_);_(@_)">
                  <c:v>823.309356114092</c:v>
                </c:pt>
                <c:pt idx="46" formatCode="_(&quot;$&quot;* #,##0.00_);_(&quot;$&quot;* \(#,##0.00\);_(&quot;$&quot;* &quot;-&quot;??_);_(@_)">
                  <c:v>732.78189993253523</c:v>
                </c:pt>
                <c:pt idx="47" formatCode="_(&quot;$&quot;* #,##0.00_);_(&quot;$&quot;* \(#,##0.00\);_(&quot;$&quot;* &quot;-&quot;??_);_(@_)">
                  <c:v>860.30070527398811</c:v>
                </c:pt>
                <c:pt idx="48" formatCode="_(&quot;$&quot;* #,##0.00_);_(&quot;$&quot;* \(#,##0.00\);_(&quot;$&quot;* &quot;-&quot;??_);_(@_)">
                  <c:v>845.3535542028435</c:v>
                </c:pt>
                <c:pt idx="49" formatCode="_(&quot;$&quot;* #,##0.00_);_(&quot;$&quot;* \(#,##0.00\);_(&quot;$&quot;* &quot;-&quot;??_);_(@_)">
                  <c:v>923.93769479905086</c:v>
                </c:pt>
                <c:pt idx="50" formatCode="_(&quot;$&quot;* #,##0.00_);_(&quot;$&quot;* \(#,##0.00\);_(&quot;$&quot;* &quot;-&quot;??_);_(@_)">
                  <c:v>828.8695351702363</c:v>
                </c:pt>
                <c:pt idx="51" formatCode="_(&quot;$&quot;* #,##0.00_);_(&quot;$&quot;* \(#,##0.00\);_(&quot;$&quot;* &quot;-&quot;??_);_(@_)">
                  <c:v>774.88681209600963</c:v>
                </c:pt>
                <c:pt idx="52" formatCode="_(&quot;$&quot;* #,##0.00_);_(&quot;$&quot;* \(#,##0.00\);_(&quot;$&quot;* &quot;-&quot;??_);_(@_)">
                  <c:v>835.90195337612613</c:v>
                </c:pt>
                <c:pt idx="53" formatCode="_(&quot;$&quot;* #,##0.00_);_(&quot;$&quot;* \(#,##0.00\);_(&quot;$&quot;* &quot;-&quot;??_);_(@_)">
                  <c:v>679.96949414819073</c:v>
                </c:pt>
                <c:pt idx="54" formatCode="_(&quot;$&quot;* #,##0.00_);_(&quot;$&quot;* \(#,##0.00\);_(&quot;$&quot;* &quot;-&quot;??_);_(@_)">
                  <c:v>683.76165145895379</c:v>
                </c:pt>
                <c:pt idx="55" formatCode="_(&quot;$&quot;* #,##0.00_);_(&quot;$&quot;* \(#,##0.00\);_(&quot;$&quot;* &quot;-&quot;??_);_(@_)">
                  <c:v>538.27303467667457</c:v>
                </c:pt>
                <c:pt idx="56" formatCode="_(&quot;$&quot;* #,##0.00_);_(&quot;$&quot;* \(#,##0.00\);_(&quot;$&quot;* &quot;-&quot;??_);_(@_)">
                  <c:v>687.18550226034199</c:v>
                </c:pt>
                <c:pt idx="57" formatCode="_(&quot;$&quot;* #,##0.00_);_(&quot;$&quot;* \(#,##0.00\);_(&quot;$&quot;* &quot;-&quot;??_);_(@_)">
                  <c:v>618.34497435286471</c:v>
                </c:pt>
                <c:pt idx="58" formatCode="_(&quot;$&quot;* #,##0.00_);_(&quot;$&quot;* \(#,##0.00\);_(&quot;$&quot;* &quot;-&quot;??_);_(@_)">
                  <c:v>462.7269910194168</c:v>
                </c:pt>
                <c:pt idx="59" formatCode="_(&quot;$&quot;* #,##0.00_);_(&quot;$&quot;* \(#,##0.00\);_(&quot;$&quot;* &quot;-&quot;??_);_(@_)">
                  <c:v>470.58613331995821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B-2F4F-BDC5-02DE8B032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826272"/>
        <c:axId val="441865296"/>
      </c:lineChart>
      <c:catAx>
        <c:axId val="1701826272"/>
        <c:scaling>
          <c:orientation val="minMax"/>
        </c:scaling>
        <c:delete val="1"/>
        <c:axPos val="b"/>
        <c:numFmt formatCode="m/d/yy" sourceLinked="1"/>
        <c:majorTickMark val="none"/>
        <c:minorTickMark val="none"/>
        <c:tickLblPos val="nextTo"/>
        <c:crossAx val="441865296"/>
        <c:crosses val="autoZero"/>
        <c:auto val="1"/>
        <c:lblAlgn val="ctr"/>
        <c:lblOffset val="100"/>
        <c:noMultiLvlLbl val="0"/>
      </c:catAx>
      <c:valAx>
        <c:axId val="4418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82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1301750</xdr:colOff>
      <xdr:row>0</xdr:row>
      <xdr:rowOff>120650</xdr:rowOff>
    </xdr:from>
    <xdr:to>
      <xdr:col>19</xdr:col>
      <xdr:colOff>209550</xdr:colOff>
      <xdr:row>14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56CEBC-327E-9F65-604A-95CBD42C1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9A52-B1BE-CF42-A8DF-D20542B27789}">
  <dimension ref="A2:X78"/>
  <sheetViews>
    <sheetView topLeftCell="J1" zoomScale="160" zoomScaleNormal="160" workbookViewId="0">
      <selection activeCell="F11" sqref="F11"/>
    </sheetView>
  </sheetViews>
  <sheetFormatPr baseColWidth="10" defaultRowHeight="16" x14ac:dyDescent="0.2"/>
  <cols>
    <col min="1" max="1" width="17.83203125" bestFit="1" customWidth="1"/>
    <col min="2" max="2" width="20.5" bestFit="1" customWidth="1"/>
    <col min="3" max="3" width="17.33203125" bestFit="1" customWidth="1"/>
    <col min="4" max="4" width="15" bestFit="1" customWidth="1"/>
    <col min="5" max="5" width="11.33203125" bestFit="1" customWidth="1"/>
    <col min="7" max="7" width="15.83203125" bestFit="1" customWidth="1"/>
    <col min="8" max="8" width="18" bestFit="1" customWidth="1"/>
    <col min="9" max="9" width="15.83203125" bestFit="1" customWidth="1"/>
    <col min="10" max="10" width="17.1640625" bestFit="1" customWidth="1"/>
    <col min="11" max="11" width="14.83203125" bestFit="1" customWidth="1"/>
    <col min="12" max="12" width="8" bestFit="1" customWidth="1"/>
    <col min="13" max="13" width="7.83203125" bestFit="1" customWidth="1"/>
    <col min="14" max="14" width="15.83203125" bestFit="1" customWidth="1"/>
    <col min="15" max="15" width="17.1640625" bestFit="1" customWidth="1"/>
    <col min="16" max="17" width="15.83203125" bestFit="1" customWidth="1"/>
    <col min="18" max="18" width="17.1640625" bestFit="1" customWidth="1"/>
    <col min="19" max="19" width="14.83203125" bestFit="1" customWidth="1"/>
    <col min="20" max="21" width="9" bestFit="1" customWidth="1"/>
    <col min="22" max="22" width="8" bestFit="1" customWidth="1"/>
  </cols>
  <sheetData>
    <row r="2" spans="1:24" x14ac:dyDescent="0.2">
      <c r="A2" s="9"/>
      <c r="B2" s="9" t="str">
        <f>B18</f>
        <v>Proctor &amp; Gamble</v>
      </c>
      <c r="C2" s="9" t="str">
        <f t="shared" ref="C2:E2" si="0">C18</f>
        <v>Colgate - Palmolive</v>
      </c>
      <c r="D2" s="9" t="str">
        <f t="shared" si="0"/>
        <v>Church &amp; Dwight</v>
      </c>
      <c r="E2" s="9" t="str">
        <f t="shared" si="0"/>
        <v>Unilever</v>
      </c>
      <c r="F2" s="9" t="s">
        <v>17</v>
      </c>
      <c r="G2" s="9" t="s">
        <v>389</v>
      </c>
      <c r="H2" s="107"/>
      <c r="J2" t="s">
        <v>15</v>
      </c>
      <c r="K2" s="4">
        <v>1000</v>
      </c>
      <c r="R2" s="76"/>
      <c r="S2" s="79"/>
      <c r="T2" s="79"/>
      <c r="U2" s="79"/>
      <c r="V2" s="79"/>
      <c r="W2" s="79"/>
      <c r="X2" s="79"/>
    </row>
    <row r="3" spans="1:24" x14ac:dyDescent="0.2">
      <c r="A3" s="10" t="s">
        <v>2</v>
      </c>
      <c r="B3" s="11">
        <f t="shared" ref="B3:G3" si="1">AVERAGE(I20:I78)</f>
        <v>8.8440528059279041E-3</v>
      </c>
      <c r="C3" s="11">
        <f t="shared" si="1"/>
        <v>2.3262723081818558E-3</v>
      </c>
      <c r="D3" s="11">
        <f t="shared" si="1"/>
        <v>1.0286662102893189E-2</v>
      </c>
      <c r="E3" s="11">
        <f t="shared" si="1"/>
        <v>-4.5395223482770056E-4</v>
      </c>
      <c r="F3" s="11">
        <f t="shared" si="1"/>
        <v>7.9764417307315073E-3</v>
      </c>
      <c r="G3" s="11">
        <f t="shared" si="1"/>
        <v>8.0314242755631096E-4</v>
      </c>
      <c r="H3" s="108"/>
      <c r="L3" s="4"/>
      <c r="R3" s="75"/>
      <c r="S3" s="78"/>
      <c r="T3" s="78"/>
      <c r="U3" s="78"/>
      <c r="V3" s="78"/>
      <c r="W3" s="78"/>
      <c r="X3" s="75"/>
    </row>
    <row r="4" spans="1:24" x14ac:dyDescent="0.2">
      <c r="A4" s="10" t="s">
        <v>3</v>
      </c>
      <c r="B4" s="11">
        <f>RATE(COUNT(B19:B78),0,-B19,B78)</f>
        <v>7.5533674988416981E-3</v>
      </c>
      <c r="C4" s="11">
        <f t="shared" ref="C4:E4" si="2">RATE(COUNT(C19:C78),0,-C19,C78)</f>
        <v>1.0758497981002764E-3</v>
      </c>
      <c r="D4" s="11">
        <f t="shared" si="2"/>
        <v>8.177122542889945E-3</v>
      </c>
      <c r="E4" s="11">
        <f t="shared" si="2"/>
        <v>-1.5923619027370744E-3</v>
      </c>
      <c r="F4" s="11">
        <f t="shared" ref="F4:H4" si="3">RATE(COUNT(F19:F78),0,-F19,F78)</f>
        <v>6.4483860844817033E-3</v>
      </c>
      <c r="G4" s="11">
        <f t="shared" si="3"/>
        <v>7.8915978515616849E-4</v>
      </c>
      <c r="H4" s="108"/>
      <c r="J4" t="s">
        <v>16</v>
      </c>
      <c r="K4" s="2">
        <f>G5</f>
        <v>9.6803958015696523E-3</v>
      </c>
      <c r="R4" s="77"/>
      <c r="S4" s="77"/>
      <c r="T4" s="78"/>
      <c r="U4" s="78"/>
      <c r="V4" s="78"/>
      <c r="W4" s="77"/>
      <c r="X4" s="77"/>
    </row>
    <row r="5" spans="1:24" x14ac:dyDescent="0.2">
      <c r="A5" s="10" t="s">
        <v>4</v>
      </c>
      <c r="B5" s="12">
        <f>((1+B3)^12)-1</f>
        <v>0.11144623185956304</v>
      </c>
      <c r="C5" s="12">
        <f t="shared" ref="C5:E6" si="4">((1+C3)^12)-1</f>
        <v>2.827521359537899E-2</v>
      </c>
      <c r="D5" s="12">
        <f t="shared" si="4"/>
        <v>0.13066886480126039</v>
      </c>
      <c r="E5" s="12">
        <f t="shared" si="4"/>
        <v>-5.4338465836163419E-3</v>
      </c>
      <c r="F5" s="12">
        <f t="shared" ref="F5:G5" si="5">((1+F3)^12)-1</f>
        <v>0.1000301372469381</v>
      </c>
      <c r="G5" s="12">
        <f t="shared" si="5"/>
        <v>9.6803958015696523E-3</v>
      </c>
      <c r="H5" s="109"/>
      <c r="L5" s="2"/>
      <c r="R5" s="67"/>
      <c r="S5" s="67"/>
      <c r="T5" s="67"/>
      <c r="U5" s="67"/>
      <c r="V5" s="67"/>
      <c r="W5" s="67"/>
      <c r="X5" s="67"/>
    </row>
    <row r="6" spans="1:24" x14ac:dyDescent="0.2">
      <c r="A6" s="10" t="s">
        <v>5</v>
      </c>
      <c r="B6" s="12">
        <f>((1+B4)^12)-1</f>
        <v>9.4502370596824203E-2</v>
      </c>
      <c r="C6" s="12">
        <f t="shared" si="4"/>
        <v>1.2986864079485683E-2</v>
      </c>
      <c r="D6" s="12">
        <f t="shared" si="4"/>
        <v>0.10266111338797512</v>
      </c>
      <c r="E6" s="12">
        <f t="shared" si="4"/>
        <v>-1.8941877250256645E-2</v>
      </c>
      <c r="F6" s="12">
        <f t="shared" ref="F6:G6" si="6">((1+F4)^12)-1</f>
        <v>8.0184878512483238E-2</v>
      </c>
      <c r="G6" s="12">
        <f t="shared" si="6"/>
        <v>9.5111287659486177E-3</v>
      </c>
      <c r="H6" s="109"/>
      <c r="L6" s="3"/>
      <c r="U6" s="74"/>
    </row>
    <row r="7" spans="1:24" x14ac:dyDescent="0.2">
      <c r="A7" s="10" t="s">
        <v>11</v>
      </c>
      <c r="B7" s="13">
        <f>Q78</f>
        <v>570.66487874949075</v>
      </c>
      <c r="C7" s="13">
        <f>R78</f>
        <v>66.642952849425228</v>
      </c>
      <c r="D7" s="13">
        <f>S78</f>
        <v>630.08516384111817</v>
      </c>
      <c r="E7" s="13">
        <f>T78</f>
        <v>-91.188760346224853</v>
      </c>
      <c r="F7" s="13">
        <f>U78</f>
        <v>470.58613331995821</v>
      </c>
      <c r="G7" s="13">
        <f>V78</f>
        <v>48.468904443905558</v>
      </c>
      <c r="H7" s="107"/>
      <c r="L7" s="2"/>
      <c r="R7" s="67"/>
      <c r="S7" s="67"/>
      <c r="T7" s="67"/>
      <c r="U7" s="67"/>
      <c r="V7" s="67"/>
      <c r="W7" s="67"/>
      <c r="X7" s="67"/>
    </row>
    <row r="8" spans="1:24" x14ac:dyDescent="0.2">
      <c r="A8" s="10" t="s">
        <v>12</v>
      </c>
      <c r="B8" s="14">
        <f t="shared" ref="B8:G8" si="7">_xlfn.STDEV.S(I20:I78)</f>
        <v>4.8745768832695123E-2</v>
      </c>
      <c r="C8" s="14">
        <f t="shared" si="7"/>
        <v>4.9986258812550748E-2</v>
      </c>
      <c r="D8" s="14">
        <f t="shared" si="7"/>
        <v>6.4561697385828037E-2</v>
      </c>
      <c r="E8" s="14">
        <f t="shared" si="7"/>
        <v>4.8645137375951317E-2</v>
      </c>
      <c r="F8" s="14">
        <f t="shared" si="7"/>
        <v>5.3514336143755274E-2</v>
      </c>
      <c r="G8" s="14">
        <f t="shared" si="7"/>
        <v>1.1074610435608074E-3</v>
      </c>
      <c r="H8" s="109"/>
      <c r="L8" s="2"/>
      <c r="U8" s="74"/>
    </row>
    <row r="9" spans="1:24" x14ac:dyDescent="0.2">
      <c r="A9" s="10" t="s">
        <v>13</v>
      </c>
      <c r="B9" s="12">
        <f>B8*SQRT(12)</f>
        <v>0.16886029654447079</v>
      </c>
      <c r="C9" s="12">
        <f t="shared" ref="C9:E9" si="8">C8*SQRT(12)</f>
        <v>0.17315747988725086</v>
      </c>
      <c r="D9" s="12">
        <f t="shared" si="8"/>
        <v>0.22364828019028185</v>
      </c>
      <c r="E9" s="12">
        <f t="shared" si="8"/>
        <v>0.16851169895263091</v>
      </c>
      <c r="F9" s="12">
        <f t="shared" ref="F9:G9" si="9">F8*SQRT(12)</f>
        <v>0.18537909826860735</v>
      </c>
      <c r="G9" s="12">
        <f t="shared" si="9"/>
        <v>3.8363575897011359E-3</v>
      </c>
      <c r="H9" s="109"/>
      <c r="R9" s="67"/>
      <c r="S9" s="67"/>
      <c r="T9" s="67"/>
      <c r="U9" s="67"/>
      <c r="V9" s="67"/>
      <c r="W9" s="67"/>
      <c r="X9" s="67"/>
    </row>
    <row r="10" spans="1:24" x14ac:dyDescent="0.2">
      <c r="A10" s="10"/>
      <c r="B10" s="9"/>
      <c r="C10" s="9"/>
      <c r="D10" s="9"/>
      <c r="E10" s="9"/>
      <c r="F10" s="9"/>
      <c r="G10" s="9"/>
      <c r="H10" s="107"/>
      <c r="U10" s="74"/>
    </row>
    <row r="11" spans="1:24" x14ac:dyDescent="0.2">
      <c r="A11" s="10" t="s">
        <v>14</v>
      </c>
      <c r="B11" s="15">
        <f>(B5-$K$4)/B9</f>
        <v>0.60266290028214231</v>
      </c>
      <c r="C11" s="15">
        <f>(C5-$K$4)/C9</f>
        <v>0.10738674301518537</v>
      </c>
      <c r="D11" s="15">
        <f>(D5-$K$4)/D9</f>
        <v>0.54097652303318733</v>
      </c>
      <c r="E11" s="15">
        <f>(E5-$K$4)/E9</f>
        <v>-8.9692540512778571E-2</v>
      </c>
      <c r="F11" s="15">
        <f>(F5-$K$4)/F9</f>
        <v>0.4873782550957016</v>
      </c>
      <c r="G11" s="15">
        <f>(G5-$K$4)/G9</f>
        <v>0</v>
      </c>
      <c r="H11" s="110"/>
      <c r="R11" s="67"/>
      <c r="S11" s="67"/>
      <c r="T11" s="67"/>
      <c r="U11" s="67"/>
      <c r="V11" s="67"/>
      <c r="W11" s="67"/>
      <c r="X11" s="67"/>
    </row>
    <row r="12" spans="1:24" x14ac:dyDescent="0.2">
      <c r="U12" s="74"/>
    </row>
    <row r="13" spans="1:24" x14ac:dyDescent="0.2">
      <c r="I13" s="5"/>
      <c r="J13" s="5"/>
      <c r="K13" s="5"/>
      <c r="L13" s="5"/>
      <c r="M13" s="5"/>
      <c r="R13" s="67"/>
      <c r="S13" s="67"/>
      <c r="T13" s="67"/>
      <c r="U13" s="67"/>
      <c r="V13" s="67"/>
      <c r="W13" s="67"/>
      <c r="X13" s="67"/>
    </row>
    <row r="14" spans="1:24" x14ac:dyDescent="0.2">
      <c r="U14" s="74"/>
    </row>
    <row r="15" spans="1:24" x14ac:dyDescent="0.2">
      <c r="I15" s="81"/>
      <c r="J15" s="81"/>
      <c r="K15" s="81"/>
      <c r="L15" s="81"/>
      <c r="M15" s="81"/>
      <c r="N15" s="81"/>
    </row>
    <row r="17" spans="1:22" x14ac:dyDescent="0.2">
      <c r="B17" s="68" t="s">
        <v>6</v>
      </c>
      <c r="C17" s="68"/>
      <c r="D17" s="68"/>
      <c r="E17" s="68"/>
      <c r="I17" s="68" t="s">
        <v>1</v>
      </c>
      <c r="J17" s="68"/>
      <c r="K17" s="68"/>
      <c r="L17" s="68"/>
      <c r="M17" s="68"/>
      <c r="N17" s="68"/>
      <c r="P17" s="80"/>
      <c r="Q17" s="68" t="s">
        <v>18</v>
      </c>
      <c r="R17" s="68"/>
      <c r="S17" s="68"/>
      <c r="T17" s="68"/>
      <c r="U17" s="68"/>
      <c r="V17" s="68"/>
    </row>
    <row r="18" spans="1:22" x14ac:dyDescent="0.2">
      <c r="A18" t="s">
        <v>0</v>
      </c>
      <c r="B18" t="s">
        <v>7</v>
      </c>
      <c r="C18" t="s">
        <v>8</v>
      </c>
      <c r="D18" t="s">
        <v>9</v>
      </c>
      <c r="E18" t="s">
        <v>10</v>
      </c>
      <c r="F18" t="s">
        <v>17</v>
      </c>
      <c r="G18" t="s">
        <v>389</v>
      </c>
      <c r="I18" t="str">
        <f>B18</f>
        <v>Proctor &amp; Gamble</v>
      </c>
      <c r="J18" t="str">
        <f>C18</f>
        <v>Colgate - Palmolive</v>
      </c>
      <c r="K18" t="str">
        <f>D18</f>
        <v>Church &amp; Dwight</v>
      </c>
      <c r="L18" t="str">
        <f>E18</f>
        <v>Unilever</v>
      </c>
      <c r="M18" t="s">
        <v>17</v>
      </c>
      <c r="N18" t="s">
        <v>389</v>
      </c>
      <c r="O18" s="107"/>
      <c r="Q18" t="str">
        <f>I18</f>
        <v>Proctor &amp; Gamble</v>
      </c>
      <c r="R18" t="str">
        <f>J18</f>
        <v>Colgate - Palmolive</v>
      </c>
      <c r="S18" t="str">
        <f>K18</f>
        <v>Church &amp; Dwight</v>
      </c>
      <c r="T18" t="str">
        <f>L18</f>
        <v>Unilever</v>
      </c>
      <c r="U18" t="s">
        <v>17</v>
      </c>
      <c r="V18" t="s">
        <v>389</v>
      </c>
    </row>
    <row r="19" spans="1:22" x14ac:dyDescent="0.2">
      <c r="A19" s="1">
        <v>43040</v>
      </c>
      <c r="B19" s="6">
        <v>79.093895000000003</v>
      </c>
      <c r="C19" s="6">
        <v>64.735816999999997</v>
      </c>
      <c r="D19" s="6">
        <v>44.114261999999997</v>
      </c>
      <c r="E19" s="6">
        <v>47.666663999999997</v>
      </c>
      <c r="F19" s="6">
        <v>243.188751</v>
      </c>
      <c r="G19" s="6">
        <v>86.763298000000006</v>
      </c>
      <c r="O19" s="107"/>
    </row>
    <row r="20" spans="1:22" x14ac:dyDescent="0.2">
      <c r="A20" s="1">
        <v>43070</v>
      </c>
      <c r="B20" s="6">
        <v>80.755050999999995</v>
      </c>
      <c r="C20" s="6">
        <v>67.416374000000005</v>
      </c>
      <c r="D20" s="6">
        <v>47.196525999999999</v>
      </c>
      <c r="E20" s="6">
        <v>47.058033000000002</v>
      </c>
      <c r="F20" s="6">
        <v>244.88635300000001</v>
      </c>
      <c r="G20" s="6">
        <v>86.753806999999995</v>
      </c>
      <c r="I20" s="7">
        <f t="shared" ref="I20:I51" si="10">(B20-B19)/B19</f>
        <v>2.1002328940811311E-2</v>
      </c>
      <c r="J20" s="7">
        <f t="shared" ref="J20:J51" si="11">(C20-C19)/C19</f>
        <v>4.1407633736977589E-2</v>
      </c>
      <c r="K20" s="7">
        <f t="shared" ref="K20:K51" si="12">(D20-D19)/D19</f>
        <v>6.9870011652920824E-2</v>
      </c>
      <c r="L20" s="7">
        <f t="shared" ref="L20:L51" si="13">(E20-E19)/E19</f>
        <v>-1.2768483231803164E-2</v>
      </c>
      <c r="M20" s="7">
        <f t="shared" ref="M20:M51" si="14">(F20-F19)/F19</f>
        <v>6.9805942627667742E-3</v>
      </c>
      <c r="N20" s="7">
        <f t="shared" ref="N20:N51" si="15">(G20-G19)/G19</f>
        <v>-1.0938957161369361E-4</v>
      </c>
      <c r="O20" s="109"/>
    </row>
    <row r="21" spans="1:22" x14ac:dyDescent="0.2">
      <c r="A21" s="1">
        <v>43101</v>
      </c>
      <c r="B21" s="6">
        <v>75.885834000000003</v>
      </c>
      <c r="C21" s="6">
        <v>66.335220000000007</v>
      </c>
      <c r="D21" s="6">
        <v>45.954765000000002</v>
      </c>
      <c r="E21" s="6">
        <v>48.018920999999999</v>
      </c>
      <c r="F21" s="6">
        <v>260.01025399999997</v>
      </c>
      <c r="G21" s="6">
        <v>87.008385000000004</v>
      </c>
      <c r="I21" s="7">
        <f t="shared" si="10"/>
        <v>-6.0296129340565857E-2</v>
      </c>
      <c r="J21" s="7">
        <f t="shared" si="11"/>
        <v>-1.6036964551074756E-2</v>
      </c>
      <c r="K21" s="7">
        <f t="shared" si="12"/>
        <v>-2.6310432255119726E-2</v>
      </c>
      <c r="L21" s="7">
        <f t="shared" si="13"/>
        <v>2.0419213017254609E-2</v>
      </c>
      <c r="M21" s="7">
        <f t="shared" si="14"/>
        <v>6.1758855953887963E-2</v>
      </c>
      <c r="N21" s="7">
        <f t="shared" si="15"/>
        <v>2.9344879354978545E-3</v>
      </c>
      <c r="O21" s="109"/>
      <c r="Q21" s="8" cm="1">
        <f t="array" ref="Q21">(PRODUCT(1 + I$20:I21)*$K$2)-$K$2</f>
        <v>-40.560159542022802</v>
      </c>
      <c r="R21" s="8" cm="1">
        <f t="array" ref="R21">(PRODUCT(1 + J$20:J21)*$K$2)-$K$2</f>
        <v>24.706616431519024</v>
      </c>
      <c r="S21" s="8" cm="1">
        <f t="array" ref="S21">(PRODUCT(1 + K$20:K21)*$K$2)-$K$2</f>
        <v>41.721269189542227</v>
      </c>
      <c r="T21" s="8" cm="1">
        <f t="array" ref="T21">(PRODUCT(1 + L$20:L21)*$K$2)-$K$2</f>
        <v>7.3900074064341652</v>
      </c>
      <c r="U21" s="8" cm="1">
        <f t="array" ref="U21">(PRODUCT(1 + M$20:M21)*$K$2)-$K$2</f>
        <v>69.170563732201572</v>
      </c>
      <c r="V21" s="8" cm="1">
        <f t="array" ref="V21">(PRODUCT(1 + N$20:N21)*$K$2)-$K$2</f>
        <v>2.8247773615059941</v>
      </c>
    </row>
    <row r="22" spans="1:22" x14ac:dyDescent="0.2">
      <c r="A22" s="1">
        <v>43132</v>
      </c>
      <c r="B22" s="6">
        <v>69.538818000000006</v>
      </c>
      <c r="C22" s="6">
        <v>61.946091000000003</v>
      </c>
      <c r="D22" s="6">
        <v>46.274619999999999</v>
      </c>
      <c r="E22" s="6">
        <v>43.877749999999999</v>
      </c>
      <c r="F22" s="6">
        <v>250.55619799999999</v>
      </c>
      <c r="G22" s="6">
        <v>86.998885999999999</v>
      </c>
      <c r="I22" s="7">
        <f t="shared" si="10"/>
        <v>-8.3639009620688834E-2</v>
      </c>
      <c r="J22" s="7">
        <f t="shared" si="11"/>
        <v>-6.6165891965082851E-2</v>
      </c>
      <c r="K22" s="7">
        <f t="shared" si="12"/>
        <v>6.9602140278597199E-3</v>
      </c>
      <c r="L22" s="7">
        <f t="shared" si="13"/>
        <v>-8.624040094528572E-2</v>
      </c>
      <c r="M22" s="7">
        <f t="shared" si="14"/>
        <v>-3.6360319851077801E-2</v>
      </c>
      <c r="N22" s="7">
        <f t="shared" si="15"/>
        <v>-1.0917338599038762E-4</v>
      </c>
      <c r="O22" s="109"/>
      <c r="Q22" s="8" cm="1">
        <f t="array" ref="Q22">(PRODUCT(1 + I$20:I22)*$K$2)-$K$2</f>
        <v>-120.80675758855978</v>
      </c>
      <c r="R22" s="8" cm="1">
        <f t="array" ref="R22">(PRODUCT(1 + J$20:J22)*$K$2)-$K$2</f>
        <v>-43.094010847194454</v>
      </c>
      <c r="S22" s="8" cm="1">
        <f t="array" ref="S22">(PRODUCT(1 + K$20:K22)*$K$2)-$K$2</f>
        <v>48.971872180475202</v>
      </c>
      <c r="T22" s="8" cm="1">
        <f t="array" ref="T22">(PRODUCT(1 + L$20:L22)*$K$2)-$K$2</f>
        <v>-79.487710740571174</v>
      </c>
      <c r="U22" s="8" cm="1">
        <f t="array" ref="U22">(PRODUCT(1 + M$20:M22)*$K$2)-$K$2</f>
        <v>30.295180059541508</v>
      </c>
      <c r="V22" s="8" cm="1">
        <f t="array" ref="V22">(PRODUCT(1 + N$20:N22)*$K$2)-$K$2</f>
        <v>2.7152955850065155</v>
      </c>
    </row>
    <row r="23" spans="1:22" x14ac:dyDescent="0.2">
      <c r="A23" s="1">
        <v>43160</v>
      </c>
      <c r="B23" s="6">
        <v>70.211876000000004</v>
      </c>
      <c r="C23" s="6">
        <v>64.380088999999998</v>
      </c>
      <c r="D23" s="6">
        <v>47.588557999999999</v>
      </c>
      <c r="E23" s="6">
        <v>47.642876000000001</v>
      </c>
      <c r="F23" s="6">
        <v>242.716217</v>
      </c>
      <c r="G23" s="6">
        <v>87.118781999999996</v>
      </c>
      <c r="I23" s="7">
        <f t="shared" si="10"/>
        <v>9.6788818009532086E-3</v>
      </c>
      <c r="J23" s="7">
        <f t="shared" si="11"/>
        <v>3.9292196823202216E-2</v>
      </c>
      <c r="K23" s="7">
        <f t="shared" si="12"/>
        <v>2.839435526428959E-2</v>
      </c>
      <c r="L23" s="7">
        <f t="shared" si="13"/>
        <v>8.580945923617328E-2</v>
      </c>
      <c r="M23" s="7">
        <f t="shared" si="14"/>
        <v>-3.1290309569592029E-2</v>
      </c>
      <c r="N23" s="7">
        <f t="shared" si="15"/>
        <v>1.3781325889620831E-3</v>
      </c>
      <c r="O23" s="109"/>
      <c r="Q23" s="8" cm="1">
        <f t="array" ref="Q23">(PRODUCT(1 + I$20:I23)*$K$2)-$K$2</f>
        <v>-112.29715011506255</v>
      </c>
      <c r="R23" s="8" cm="1">
        <f t="array" ref="R23">(PRODUCT(1 + J$20:J23)*$K$2)-$K$2</f>
        <v>-5.4950723801014192</v>
      </c>
      <c r="S23" s="8" cm="1">
        <f t="array" ref="S23">(PRODUCT(1 + K$20:K23)*$K$2)-$K$2</f>
        <v>78.75675218141464</v>
      </c>
      <c r="T23" s="8" cm="1">
        <f t="array" ref="T23">(PRODUCT(1 + L$20:L23)*$K$2)-$K$2</f>
        <v>-0.49904897896760758</v>
      </c>
      <c r="U23" s="8" cm="1">
        <f t="array" ref="U23">(PRODUCT(1 + M$20:M23)*$K$2)-$K$2</f>
        <v>-1.9430750725800863</v>
      </c>
      <c r="V23" s="8" cm="1">
        <f t="array" ref="V23">(PRODUCT(1 + N$20:N23)*$K$2)-$K$2</f>
        <v>4.0971702113030233</v>
      </c>
    </row>
    <row r="24" spans="1:22" x14ac:dyDescent="0.2">
      <c r="A24" s="1">
        <v>43191</v>
      </c>
      <c r="B24" s="6">
        <v>64.065697</v>
      </c>
      <c r="C24" s="6">
        <v>58.586951999999997</v>
      </c>
      <c r="D24" s="6">
        <v>43.657490000000003</v>
      </c>
      <c r="E24" s="6">
        <v>47.994453</v>
      </c>
      <c r="F24" s="6">
        <v>244.94770800000001</v>
      </c>
      <c r="G24" s="6">
        <v>87.184532000000004</v>
      </c>
      <c r="I24" s="7">
        <f t="shared" si="10"/>
        <v>-8.753759834020107E-2</v>
      </c>
      <c r="J24" s="7">
        <f t="shared" si="11"/>
        <v>-8.9983364266551444E-2</v>
      </c>
      <c r="K24" s="7">
        <f t="shared" si="12"/>
        <v>-8.2605318698666941E-2</v>
      </c>
      <c r="L24" s="7">
        <f t="shared" si="13"/>
        <v>7.3794243655651457E-3</v>
      </c>
      <c r="M24" s="7">
        <f t="shared" si="14"/>
        <v>9.1938273741305285E-3</v>
      </c>
      <c r="N24" s="7">
        <f t="shared" si="15"/>
        <v>7.5471670391361089E-4</v>
      </c>
      <c r="O24" s="109"/>
      <c r="Q24" s="8" cm="1">
        <f t="array" ref="Q24">(PRODUCT(1 + I$20:I24)*$K$2)-$K$2</f>
        <v>-190.00452563374199</v>
      </c>
      <c r="R24" s="8" cm="1">
        <f t="array" ref="R24">(PRODUCT(1 + J$20:J24)*$K$2)-$K$2</f>
        <v>-94.98397154700308</v>
      </c>
      <c r="S24" s="8" cm="1">
        <f t="array" ref="S24">(PRODUCT(1 + K$20:K24)*$K$2)-$K$2</f>
        <v>-10.354293130870133</v>
      </c>
      <c r="T24" s="8" cm="1">
        <f t="array" ref="T24">(PRODUCT(1 + L$20:L24)*$K$2)-$K$2</f>
        <v>6.8766926924026848</v>
      </c>
      <c r="U24" s="8" cm="1">
        <f t="array" ref="U24">(PRODUCT(1 + M$20:M24)*$K$2)-$K$2</f>
        <v>7.2328880047582516</v>
      </c>
      <c r="V24" s="8" cm="1">
        <f t="array" ref="V24">(PRODUCT(1 + N$20:N24)*$K$2)-$K$2</f>
        <v>4.8549791180139437</v>
      </c>
    </row>
    <row r="25" spans="1:22" x14ac:dyDescent="0.2">
      <c r="A25" s="1">
        <v>43221</v>
      </c>
      <c r="B25" s="6">
        <v>65.400397999999996</v>
      </c>
      <c r="C25" s="6">
        <v>56.997008999999998</v>
      </c>
      <c r="D25" s="6">
        <v>44.366219000000001</v>
      </c>
      <c r="E25" s="6">
        <v>47.402779000000002</v>
      </c>
      <c r="F25" s="6">
        <v>250.90222199999999</v>
      </c>
      <c r="G25" s="6">
        <v>87.313231999999999</v>
      </c>
      <c r="I25" s="7">
        <f t="shared" si="10"/>
        <v>2.0833317399169098E-2</v>
      </c>
      <c r="J25" s="7">
        <f t="shared" si="11"/>
        <v>-2.7138175749439879E-2</v>
      </c>
      <c r="K25" s="7">
        <f t="shared" si="12"/>
        <v>1.623384670076081E-2</v>
      </c>
      <c r="L25" s="7">
        <f t="shared" si="13"/>
        <v>-1.2327966317274156E-2</v>
      </c>
      <c r="M25" s="7">
        <f t="shared" si="14"/>
        <v>2.4309327278947183E-2</v>
      </c>
      <c r="N25" s="7">
        <f t="shared" si="15"/>
        <v>1.476179283728849E-3</v>
      </c>
      <c r="O25" s="109"/>
      <c r="Q25" s="8" cm="1">
        <f t="array" ref="Q25">(PRODUCT(1 + I$20:I25)*$K$2)-$K$2</f>
        <v>-173.12963282437931</v>
      </c>
      <c r="R25" s="8" cm="1">
        <f t="array" ref="R25">(PRODUCT(1 + J$20:J25)*$K$2)-$K$2</f>
        <v>-119.54445558322061</v>
      </c>
      <c r="S25" s="8" cm="1">
        <f t="array" ref="S25">(PRODUCT(1 + K$20:K25)*$K$2)-$K$2</f>
        <v>5.711463562509266</v>
      </c>
      <c r="T25" s="8" cm="1">
        <f t="array" ref="T25">(PRODUCT(1 + L$20:L25)*$K$2)-$K$2</f>
        <v>-5.5360492607576361</v>
      </c>
      <c r="U25" s="8" cm="1">
        <f t="array" ref="U25">(PRODUCT(1 + M$20:M25)*$K$2)-$K$2</f>
        <v>31.718041925385023</v>
      </c>
      <c r="V25" s="8" cm="1">
        <f t="array" ref="V25">(PRODUCT(1 + N$20:N25)*$K$2)-$K$2</f>
        <v>6.3383252213395735</v>
      </c>
    </row>
    <row r="26" spans="1:22" x14ac:dyDescent="0.2">
      <c r="A26" s="1">
        <v>43252</v>
      </c>
      <c r="B26" s="6">
        <v>69.771148999999994</v>
      </c>
      <c r="C26" s="6">
        <v>58.550896000000002</v>
      </c>
      <c r="D26" s="6">
        <v>50.466278000000003</v>
      </c>
      <c r="E26" s="6">
        <v>47.828854</v>
      </c>
      <c r="F26" s="6">
        <v>251.216949</v>
      </c>
      <c r="G26" s="6">
        <v>87.424957000000006</v>
      </c>
      <c r="I26" s="7">
        <f t="shared" si="10"/>
        <v>6.6830648339479506E-2</v>
      </c>
      <c r="J26" s="7">
        <f t="shared" si="11"/>
        <v>2.7262606007974966E-2</v>
      </c>
      <c r="K26" s="7">
        <f t="shared" si="12"/>
        <v>0.13749332572153605</v>
      </c>
      <c r="L26" s="7">
        <f t="shared" si="13"/>
        <v>8.9883970726694594E-3</v>
      </c>
      <c r="M26" s="7">
        <f t="shared" si="14"/>
        <v>1.2543810791759544E-3</v>
      </c>
      <c r="N26" s="7">
        <f t="shared" si="15"/>
        <v>1.2795884133576336E-3</v>
      </c>
      <c r="O26" s="109"/>
      <c r="Q26" s="8" cm="1">
        <f t="array" ref="Q26">(PRODUCT(1 + I$20:I26)*$K$2)-$K$2</f>
        <v>-117.86935009332899</v>
      </c>
      <c r="R26" s="8" cm="1">
        <f t="array" ref="R26">(PRODUCT(1 + J$20:J26)*$K$2)-$K$2</f>
        <v>-95.540942968248828</v>
      </c>
      <c r="S26" s="8" cm="1">
        <f t="array" ref="S26">(PRODUCT(1 + K$20:K26)*$K$2)-$K$2</f>
        <v>143.99007740399225</v>
      </c>
      <c r="T26" s="8" cm="1">
        <f t="array" ref="T26">(PRODUCT(1 + L$20:L26)*$K$2)-$K$2</f>
        <v>3.4025876029421624</v>
      </c>
      <c r="U26" s="8" cm="1">
        <f t="array" ref="U26">(PRODUCT(1 + M$20:M26)*$K$2)-$K$2</f>
        <v>33.012209516220537</v>
      </c>
      <c r="V26" s="8" cm="1">
        <f t="array" ref="V26">(PRODUCT(1 + N$20:N26)*$K$2)-$K$2</f>
        <v>7.6260240822106198</v>
      </c>
    </row>
    <row r="27" spans="1:22" x14ac:dyDescent="0.2">
      <c r="A27" s="1">
        <v>43282</v>
      </c>
      <c r="B27" s="6">
        <v>72.291702000000001</v>
      </c>
      <c r="C27" s="6">
        <v>60.538437000000002</v>
      </c>
      <c r="D27" s="6">
        <v>53.067436000000001</v>
      </c>
      <c r="E27" s="6">
        <v>49.325671999999997</v>
      </c>
      <c r="F27" s="6">
        <v>261.69360399999999</v>
      </c>
      <c r="G27" s="6">
        <v>87.545433000000003</v>
      </c>
      <c r="I27" s="7">
        <f t="shared" si="10"/>
        <v>3.6126006753880557E-2</v>
      </c>
      <c r="J27" s="7">
        <f t="shared" si="11"/>
        <v>3.3945526640617084E-2</v>
      </c>
      <c r="K27" s="7">
        <f t="shared" si="12"/>
        <v>5.1542497348427356E-2</v>
      </c>
      <c r="L27" s="7">
        <f t="shared" si="13"/>
        <v>3.1295293004511407E-2</v>
      </c>
      <c r="M27" s="7">
        <f t="shared" si="14"/>
        <v>4.1703615308217097E-2</v>
      </c>
      <c r="N27" s="7">
        <f t="shared" si="15"/>
        <v>1.3780504347287979E-3</v>
      </c>
      <c r="O27" s="109"/>
      <c r="Q27" s="8" cm="1">
        <f t="array" ref="Q27">(PRODUCT(1 + I$20:I27)*$K$2)-$K$2</f>
        <v>-86.001492276995577</v>
      </c>
      <c r="R27" s="8" cm="1">
        <f t="array" ref="R27">(PRODUCT(1 + J$20:J27)*$K$2)-$K$2</f>
        <v>-64.838603952430162</v>
      </c>
      <c r="S27" s="8" cm="1">
        <f t="array" ref="S27">(PRODUCT(1 + K$20:K27)*$K$2)-$K$2</f>
        <v>202.9541829352147</v>
      </c>
      <c r="T27" s="8" cm="1">
        <f t="array" ref="T27">(PRODUCT(1 + L$20:L27)*$K$2)-$K$2</f>
        <v>34.804365583461049</v>
      </c>
      <c r="U27" s="8" cm="1">
        <f t="array" ref="U27">(PRODUCT(1 + M$20:M27)*$K$2)-$K$2</f>
        <v>76.092553310576477</v>
      </c>
      <c r="V27" s="8" cm="1">
        <f t="array" ref="V27">(PRODUCT(1 + N$20:N27)*$K$2)-$K$2</f>
        <v>9.0145835627411088</v>
      </c>
    </row>
    <row r="28" spans="1:22" x14ac:dyDescent="0.2">
      <c r="A28" s="1">
        <v>43313</v>
      </c>
      <c r="B28" s="6">
        <v>74.814774</v>
      </c>
      <c r="C28" s="6">
        <v>60.382857999999999</v>
      </c>
      <c r="D28" s="6">
        <v>53.712975</v>
      </c>
      <c r="E28" s="6">
        <v>49.204540000000001</v>
      </c>
      <c r="F28" s="6">
        <v>270.04684400000002</v>
      </c>
      <c r="G28" s="6">
        <v>87.676581999999996</v>
      </c>
      <c r="I28" s="7">
        <f t="shared" si="10"/>
        <v>3.4901267091484431E-2</v>
      </c>
      <c r="J28" s="7">
        <f t="shared" si="11"/>
        <v>-2.5699209908574779E-3</v>
      </c>
      <c r="K28" s="7">
        <f t="shared" si="12"/>
        <v>1.2164503293507517E-2</v>
      </c>
      <c r="L28" s="7">
        <f t="shared" si="13"/>
        <v>-2.4557597512304711E-3</v>
      </c>
      <c r="M28" s="7">
        <f t="shared" si="14"/>
        <v>3.1919924187371537E-2</v>
      </c>
      <c r="N28" s="7">
        <f t="shared" si="15"/>
        <v>1.4980678660872408E-3</v>
      </c>
      <c r="O28" s="109"/>
      <c r="Q28" s="8" cm="1">
        <f t="array" ref="Q28">(PRODUCT(1 + I$20:I28)*$K$2)-$K$2</f>
        <v>-54.10178623773686</v>
      </c>
      <c r="R28" s="8" cm="1">
        <f t="array" ref="R28">(PRODUCT(1 + J$20:J28)*$K$2)-$K$2</f>
        <v>-67.241894853972326</v>
      </c>
      <c r="S28" s="8" cm="1">
        <f t="array" ref="S28">(PRODUCT(1 + K$20:K28)*$K$2)-$K$2</f>
        <v>217.58752305546864</v>
      </c>
      <c r="T28" s="8" cm="1">
        <f t="array" ref="T28">(PRODUCT(1 + L$20:L28)*$K$2)-$K$2</f>
        <v>32.263134672063643</v>
      </c>
      <c r="U28" s="8" cm="1">
        <f t="array" ref="U28">(PRODUCT(1 + M$20:M28)*$K$2)-$K$2</f>
        <v>110.44134603084512</v>
      </c>
      <c r="V28" s="8" cm="1">
        <f t="array" ref="V28">(PRODUCT(1 + N$20:N28)*$K$2)-$K$2</f>
        <v>10.526155886789752</v>
      </c>
    </row>
    <row r="29" spans="1:22" x14ac:dyDescent="0.2">
      <c r="A29" s="1">
        <v>43344</v>
      </c>
      <c r="B29" s="6">
        <v>75.067336999999995</v>
      </c>
      <c r="C29" s="6">
        <v>60.873848000000002</v>
      </c>
      <c r="D29" s="6">
        <v>56.582301999999999</v>
      </c>
      <c r="E29" s="6">
        <v>47.941578</v>
      </c>
      <c r="F29" s="6">
        <v>270.42828400000002</v>
      </c>
      <c r="G29" s="6">
        <v>87.796417000000005</v>
      </c>
      <c r="I29" s="7">
        <f t="shared" si="10"/>
        <v>3.3758439208811217E-3</v>
      </c>
      <c r="J29" s="7">
        <f t="shared" si="11"/>
        <v>8.1312812321669772E-3</v>
      </c>
      <c r="K29" s="7">
        <f t="shared" si="12"/>
        <v>5.3419625332612811E-2</v>
      </c>
      <c r="L29" s="7">
        <f t="shared" si="13"/>
        <v>-2.5667590836130197E-2</v>
      </c>
      <c r="M29" s="7">
        <f t="shared" si="14"/>
        <v>1.4124956779720697E-3</v>
      </c>
      <c r="N29" s="7">
        <f t="shared" si="15"/>
        <v>1.3667845765247672E-3</v>
      </c>
      <c r="O29" s="109"/>
      <c r="Q29" s="8" cm="1">
        <f t="array" ref="Q29">(PRODUCT(1 + I$20:I29)*$K$2)-$K$2</f>
        <v>-50.90858150303518</v>
      </c>
      <c r="R29" s="8" cm="1">
        <f t="array" ref="R29">(PRODUCT(1 + J$20:J29)*$K$2)-$K$2</f>
        <v>-59.65737637944676</v>
      </c>
      <c r="S29" s="8" cm="1">
        <f t="array" ref="S29">(PRODUCT(1 + K$20:K29)*$K$2)-$K$2</f>
        <v>282.63059234675598</v>
      </c>
      <c r="T29" s="8" cm="1">
        <f t="array" ref="T29">(PRODUCT(1 + L$20:L29)*$K$2)-$K$2</f>
        <v>5.7674268960798827</v>
      </c>
      <c r="U29" s="8" cm="1">
        <f t="array" ref="U29">(PRODUCT(1 + M$20:M29)*$K$2)-$K$2</f>
        <v>112.00983963275507</v>
      </c>
      <c r="V29" s="8" cm="1">
        <f t="array" ref="V29">(PRODUCT(1 + N$20:N29)*$K$2)-$K$2</f>
        <v>11.907327450830735</v>
      </c>
    </row>
    <row r="30" spans="1:22" x14ac:dyDescent="0.2">
      <c r="A30" s="1">
        <v>43374</v>
      </c>
      <c r="B30" s="6">
        <v>79.982826000000003</v>
      </c>
      <c r="C30" s="6">
        <v>54.145434999999999</v>
      </c>
      <c r="D30" s="6">
        <v>56.582301999999999</v>
      </c>
      <c r="E30" s="6">
        <v>46.206020000000002</v>
      </c>
      <c r="F30" s="6">
        <v>252.88002</v>
      </c>
      <c r="G30" s="6">
        <v>87.938507000000001</v>
      </c>
      <c r="I30" s="7">
        <f t="shared" si="10"/>
        <v>6.5481062689089514E-2</v>
      </c>
      <c r="J30" s="7">
        <f t="shared" si="11"/>
        <v>-0.11053043664990593</v>
      </c>
      <c r="K30" s="7">
        <f t="shared" si="12"/>
        <v>0</v>
      </c>
      <c r="L30" s="7">
        <f t="shared" si="13"/>
        <v>-3.6201520108495332E-2</v>
      </c>
      <c r="M30" s="7">
        <f t="shared" si="14"/>
        <v>-6.4890638436325754E-2</v>
      </c>
      <c r="N30" s="7">
        <f t="shared" si="15"/>
        <v>1.6184031746989862E-3</v>
      </c>
      <c r="O30" s="109"/>
      <c r="Q30" s="8" cm="1">
        <f t="array" ref="Q30">(PRODUCT(1 + I$20:I30)*$K$2)-$K$2</f>
        <v>11.238933169241477</v>
      </c>
      <c r="R30" s="8" cm="1">
        <f t="array" ref="R30">(PRODUCT(1 + J$20:J30)*$K$2)-$K$2</f>
        <v>-163.59385716874465</v>
      </c>
      <c r="S30" s="8" cm="1">
        <f t="array" ref="S30">(PRODUCT(1 + K$20:K30)*$K$2)-$K$2</f>
        <v>282.63059234675598</v>
      </c>
      <c r="T30" s="8" cm="1">
        <f t="array" ref="T30">(PRODUCT(1 + L$20:L30)*$K$2)-$K$2</f>
        <v>-30.642882833168073</v>
      </c>
      <c r="U30" s="8" cm="1">
        <f t="array" ref="U30">(PRODUCT(1 + M$20:M30)*$K$2)-$K$2</f>
        <v>39.850811191509365</v>
      </c>
      <c r="V30" s="8" cm="1">
        <f t="array" ref="V30">(PRODUCT(1 + N$20:N30)*$K$2)-$K$2</f>
        <v>13.545001482078419</v>
      </c>
    </row>
    <row r="31" spans="1:22" x14ac:dyDescent="0.2">
      <c r="A31" s="1">
        <v>43405</v>
      </c>
      <c r="B31" s="6">
        <v>85.994254999999995</v>
      </c>
      <c r="C31" s="6">
        <v>58.139384999999997</v>
      </c>
      <c r="D31" s="6">
        <v>63.082076999999998</v>
      </c>
      <c r="E31" s="6">
        <v>47.348529999999997</v>
      </c>
      <c r="F31" s="6">
        <v>257.57086199999998</v>
      </c>
      <c r="G31" s="6">
        <v>88.098167000000004</v>
      </c>
      <c r="I31" s="7">
        <f t="shared" si="10"/>
        <v>7.5158997257736213E-2</v>
      </c>
      <c r="J31" s="7">
        <f t="shared" si="11"/>
        <v>7.3763374511627774E-2</v>
      </c>
      <c r="K31" s="7">
        <f t="shared" si="12"/>
        <v>0.11487293323626176</v>
      </c>
      <c r="L31" s="7">
        <f t="shared" si="13"/>
        <v>2.4726431750667865E-2</v>
      </c>
      <c r="M31" s="7">
        <f t="shared" si="14"/>
        <v>1.8549674268453376E-2</v>
      </c>
      <c r="N31" s="7">
        <f t="shared" si="15"/>
        <v>1.8155868850491441E-3</v>
      </c>
      <c r="O31" s="109"/>
      <c r="Q31" s="8" cm="1">
        <f t="array" ref="Q31">(PRODUCT(1 + I$20:I31)*$K$2)-$K$2</f>
        <v>87.242637374224614</v>
      </c>
      <c r="R31" s="8" cm="1">
        <f t="array" ref="R31">(PRODUCT(1 + J$20:J31)*$K$2)-$K$2</f>
        <v>-101.89771761125678</v>
      </c>
      <c r="S31" s="8" cm="1">
        <f t="array" ref="S31">(PRODUCT(1 + K$20:K31)*$K$2)-$K$2</f>
        <v>429.97013074819188</v>
      </c>
      <c r="T31" s="8" cm="1">
        <f t="array" ref="T31">(PRODUCT(1 + L$20:L31)*$K$2)-$K$2</f>
        <v>-6.6741402335181874</v>
      </c>
      <c r="U31" s="8" cm="1">
        <f t="array" ref="U31">(PRODUCT(1 + M$20:M31)*$K$2)-$K$2</f>
        <v>59.139705026899037</v>
      </c>
      <c r="V31" s="8" cm="1">
        <f t="array" ref="V31">(PRODUCT(1 + N$20:N31)*$K$2)-$K$2</f>
        <v>15.385180494176211</v>
      </c>
    </row>
    <row r="32" spans="1:22" x14ac:dyDescent="0.2">
      <c r="A32" s="1">
        <v>43435</v>
      </c>
      <c r="B32" s="6">
        <v>83.637611000000007</v>
      </c>
      <c r="C32" s="6">
        <v>54.478206999999998</v>
      </c>
      <c r="D32" s="6">
        <v>62.881428</v>
      </c>
      <c r="E32" s="6">
        <v>45.958843000000002</v>
      </c>
      <c r="F32" s="6">
        <v>233.52835099999999</v>
      </c>
      <c r="G32" s="6">
        <v>88.098206000000005</v>
      </c>
      <c r="I32" s="7">
        <f t="shared" si="10"/>
        <v>-2.7404667904850025E-2</v>
      </c>
      <c r="J32" s="7">
        <f t="shared" si="11"/>
        <v>-6.2972423942908917E-2</v>
      </c>
      <c r="K32" s="7">
        <f t="shared" si="12"/>
        <v>-3.180760836394124E-3</v>
      </c>
      <c r="L32" s="7">
        <f t="shared" si="13"/>
        <v>-2.9350161451685935E-2</v>
      </c>
      <c r="M32" s="7">
        <f t="shared" si="14"/>
        <v>-9.3343287409582809E-2</v>
      </c>
      <c r="N32" s="7">
        <f t="shared" si="15"/>
        <v>4.426879846547823E-7</v>
      </c>
      <c r="O32" s="109"/>
      <c r="Q32" s="8" cm="1">
        <f t="array" ref="Q32">(PRODUCT(1 + I$20:I32)*$K$2)-$K$2</f>
        <v>57.447113964990649</v>
      </c>
      <c r="R32" s="8" cm="1">
        <f t="array" ref="R32">(PRODUCT(1 + J$20:J32)*$K$2)-$K$2</f>
        <v>-158.45339528193483</v>
      </c>
      <c r="S32" s="8" cm="1">
        <f t="array" ref="S32">(PRODUCT(1 + K$20:K32)*$K$2)-$K$2</f>
        <v>425.42173775909464</v>
      </c>
      <c r="T32" s="8" cm="1">
        <f t="array" ref="T32">(PRODUCT(1 + L$20:L32)*$K$2)-$K$2</f>
        <v>-35.828414591799174</v>
      </c>
      <c r="U32" s="8" cm="1">
        <f t="array" ref="U32">(PRODUCT(1 + M$20:M32)*$K$2)-$K$2</f>
        <v>-39.723876866327373</v>
      </c>
      <c r="V32" s="8" cm="1">
        <f t="array" ref="V32">(PRODUCT(1 + N$20:N32)*$K$2)-$K$2</f>
        <v>15.385629992995518</v>
      </c>
    </row>
    <row r="33" spans="1:22" x14ac:dyDescent="0.2">
      <c r="A33" s="1">
        <v>43466</v>
      </c>
      <c r="B33" s="6">
        <v>87.777671999999995</v>
      </c>
      <c r="C33" s="6">
        <v>59.201121999999998</v>
      </c>
      <c r="D33" s="6">
        <v>61.781765</v>
      </c>
      <c r="E33" s="6">
        <v>46.266708000000001</v>
      </c>
      <c r="F33" s="6">
        <v>253.69880699999999</v>
      </c>
      <c r="G33" s="6">
        <v>88.558623999999995</v>
      </c>
      <c r="I33" s="7">
        <f t="shared" si="10"/>
        <v>4.9499991098502186E-2</v>
      </c>
      <c r="J33" s="7">
        <f t="shared" si="11"/>
        <v>8.6693657153584375E-2</v>
      </c>
      <c r="K33" s="7">
        <f t="shared" si="12"/>
        <v>-1.7487882113618659E-2</v>
      </c>
      <c r="L33" s="7">
        <f t="shared" si="13"/>
        <v>6.698710844396139E-3</v>
      </c>
      <c r="M33" s="7">
        <f t="shared" si="14"/>
        <v>8.637262205478427E-2</v>
      </c>
      <c r="N33" s="7">
        <f t="shared" si="15"/>
        <v>5.2261904175436892E-3</v>
      </c>
      <c r="O33" s="109"/>
      <c r="Q33" s="8" cm="1">
        <f t="array" ref="Q33">(PRODUCT(1 + I$20:I33)*$K$2)-$K$2</f>
        <v>109.79073669339436</v>
      </c>
      <c r="R33" s="8" cm="1">
        <f t="array" ref="R33">(PRODUCT(1 + J$20:J33)*$K$2)-$K$2</f>
        <v>-85.496642453743902</v>
      </c>
      <c r="S33" s="8" cm="1">
        <f t="array" ref="S33">(PRODUCT(1 + K$20:K33)*$K$2)-$K$2</f>
        <v>400.49413044697394</v>
      </c>
      <c r="T33" s="8" cm="1">
        <f t="array" ref="T33">(PRODUCT(1 + L$20:L33)*$K$2)-$K$2</f>
        <v>-29.369707936766758</v>
      </c>
      <c r="U33" s="8" cm="1">
        <f t="array" ref="U33">(PRODUCT(1 + M$20:M33)*$K$2)-$K$2</f>
        <v>43.217689785330776</v>
      </c>
      <c r="V33" s="8" cm="1">
        <f t="array" ref="V33">(PRODUCT(1 + N$20:N33)*$K$2)-$K$2</f>
        <v>20.692228642576538</v>
      </c>
    </row>
    <row r="34" spans="1:22" x14ac:dyDescent="0.2">
      <c r="A34" s="1">
        <v>43497</v>
      </c>
      <c r="B34" s="6">
        <v>90.379463000000001</v>
      </c>
      <c r="C34" s="6">
        <v>60.697372000000001</v>
      </c>
      <c r="D34" s="6">
        <v>62.919670000000004</v>
      </c>
      <c r="E34" s="6">
        <v>46.820861999999998</v>
      </c>
      <c r="F34" s="6">
        <v>261.922729</v>
      </c>
      <c r="G34" s="6">
        <v>88.548935</v>
      </c>
      <c r="I34" s="7">
        <f t="shared" si="10"/>
        <v>2.9640692680936057E-2</v>
      </c>
      <c r="J34" s="7">
        <f t="shared" si="11"/>
        <v>2.5274014232365451E-2</v>
      </c>
      <c r="K34" s="7">
        <f t="shared" si="12"/>
        <v>1.8418136807842954E-2</v>
      </c>
      <c r="L34" s="7">
        <f t="shared" si="13"/>
        <v>1.1977381230581542E-2</v>
      </c>
      <c r="M34" s="7">
        <f t="shared" si="14"/>
        <v>3.2416084636929396E-2</v>
      </c>
      <c r="N34" s="7">
        <f t="shared" si="15"/>
        <v>-1.0940775231551145E-4</v>
      </c>
      <c r="O34" s="109"/>
      <c r="Q34" s="8" cm="1">
        <f t="array" ref="Q34">(PRODUCT(1 + I$20:I34)*$K$2)-$K$2</f>
        <v>142.68570285987289</v>
      </c>
      <c r="R34" s="8" cm="1">
        <f t="array" ref="R34">(PRODUCT(1 + J$20:J34)*$K$2)-$K$2</f>
        <v>-62.383471579573779</v>
      </c>
      <c r="S34" s="8" cm="1">
        <f t="array" ref="S34">(PRODUCT(1 + K$20:K34)*$K$2)-$K$2</f>
        <v>426.2886229401272</v>
      </c>
      <c r="T34" s="8" cm="1">
        <f t="array" ref="T34">(PRODUCT(1 + L$20:L34)*$K$2)-$K$2</f>
        <v>-17.744098894774766</v>
      </c>
      <c r="U34" s="8" cm="1">
        <f t="array" ref="U34">(PRODUCT(1 + M$20:M34)*$K$2)-$K$2</f>
        <v>77.034722712154007</v>
      </c>
      <c r="V34" s="8" cm="1">
        <f t="array" ref="V34">(PRODUCT(1 + N$20:N34)*$K$2)-$K$2</f>
        <v>20.580557000034787</v>
      </c>
    </row>
    <row r="35" spans="1:22" x14ac:dyDescent="0.2">
      <c r="A35" s="1">
        <v>43525</v>
      </c>
      <c r="B35" s="6">
        <v>95.423477000000005</v>
      </c>
      <c r="C35" s="6">
        <v>63.157699999999998</v>
      </c>
      <c r="D35" s="6">
        <v>68.352408999999994</v>
      </c>
      <c r="E35" s="6">
        <v>51.183292000000002</v>
      </c>
      <c r="F35" s="6">
        <v>265.49423200000001</v>
      </c>
      <c r="G35" s="6">
        <v>88.712592999999998</v>
      </c>
      <c r="I35" s="7">
        <f t="shared" si="10"/>
        <v>5.5809293755153248E-2</v>
      </c>
      <c r="J35" s="7">
        <f t="shared" si="11"/>
        <v>4.0534341420910232E-2</v>
      </c>
      <c r="K35" s="7">
        <f t="shared" si="12"/>
        <v>8.6344047894720208E-2</v>
      </c>
      <c r="L35" s="7">
        <f t="shared" si="13"/>
        <v>9.317278267965258E-2</v>
      </c>
      <c r="M35" s="7">
        <f t="shared" si="14"/>
        <v>1.3635712385999182E-2</v>
      </c>
      <c r="N35" s="7">
        <f t="shared" si="15"/>
        <v>1.8482209865087376E-3</v>
      </c>
      <c r="O35" s="109"/>
      <c r="Q35" s="8" cm="1">
        <f t="array" ref="Q35">(PRODUCT(1 + I$20:I35)*$K$2)-$K$2</f>
        <v>206.45818492059334</v>
      </c>
      <c r="R35" s="8" cm="1">
        <f t="array" ref="R35">(PRODUCT(1 + J$20:J35)*$K$2)-$K$2</f>
        <v>-24.377803094691672</v>
      </c>
      <c r="S35" s="8" cm="1">
        <f t="array" ref="S35">(PRODUCT(1 + K$20:K35)*$K$2)-$K$2</f>
        <v>549.44015611096415</v>
      </c>
      <c r="T35" s="8" cm="1">
        <f t="array" ref="T35">(PRODUCT(1 + L$20:L35)*$K$2)-$K$2</f>
        <v>73.775416714708626</v>
      </c>
      <c r="U35" s="8" cm="1">
        <f t="array" ref="U35">(PRODUCT(1 + M$20:M35)*$K$2)-$K$2</f>
        <v>91.720858420791046</v>
      </c>
      <c r="V35" s="8" cm="1">
        <f t="array" ref="V35">(PRODUCT(1 + N$20:N35)*$K$2)-$K$2</f>
        <v>22.466815403904889</v>
      </c>
    </row>
    <row r="36" spans="1:22" x14ac:dyDescent="0.2">
      <c r="A36" s="1">
        <v>43556</v>
      </c>
      <c r="B36" s="6">
        <v>97.652016000000003</v>
      </c>
      <c r="C36" s="6">
        <v>67.073943999999997</v>
      </c>
      <c r="D36" s="6">
        <v>71.922141999999994</v>
      </c>
      <c r="E36" s="6">
        <v>53.914482</v>
      </c>
      <c r="F36" s="6">
        <v>277.55746499999998</v>
      </c>
      <c r="G36" s="6">
        <v>88.877517999999995</v>
      </c>
      <c r="I36" s="7">
        <f t="shared" si="10"/>
        <v>2.3354200350507011E-2</v>
      </c>
      <c r="J36" s="7">
        <f t="shared" si="11"/>
        <v>6.2007387856112539E-2</v>
      </c>
      <c r="K36" s="7">
        <f t="shared" si="12"/>
        <v>5.2225416078605216E-2</v>
      </c>
      <c r="L36" s="7">
        <f t="shared" si="13"/>
        <v>5.3360967872093844E-2</v>
      </c>
      <c r="M36" s="7">
        <f t="shared" si="14"/>
        <v>4.5436892956680006E-2</v>
      </c>
      <c r="N36" s="7">
        <f t="shared" si="15"/>
        <v>1.8590934434753435E-3</v>
      </c>
      <c r="O36" s="109"/>
      <c r="Q36" s="8" cm="1">
        <f t="array" ref="Q36">(PRODUCT(1 + I$20:I36)*$K$2)-$K$2</f>
        <v>234.63405108573784</v>
      </c>
      <c r="R36" s="8" cm="1">
        <f t="array" ref="R36">(PRODUCT(1 + J$20:J36)*$K$2)-$K$2</f>
        <v>36.117980869848452</v>
      </c>
      <c r="S36" s="8" cm="1">
        <f t="array" ref="S36">(PRODUCT(1 + K$20:K36)*$K$2)-$K$2</f>
        <v>630.36031295275848</v>
      </c>
      <c r="T36" s="8" cm="1">
        <f t="array" ref="T36">(PRODUCT(1 + L$20:L36)*$K$2)-$K$2</f>
        <v>131.07311222786666</v>
      </c>
      <c r="U36" s="8" cm="1">
        <f t="array" ref="U36">(PRODUCT(1 + M$20:M36)*$K$2)-$K$2</f>
        <v>141.32526220343129</v>
      </c>
      <c r="V36" s="8" cm="1">
        <f t="array" ref="V36">(PRODUCT(1 + N$20:N36)*$K$2)-$K$2</f>
        <v>24.367676756593255</v>
      </c>
    </row>
    <row r="37" spans="1:22" x14ac:dyDescent="0.2">
      <c r="A37" s="1">
        <v>43586</v>
      </c>
      <c r="B37" s="6">
        <v>95.044250000000005</v>
      </c>
      <c r="C37" s="6">
        <v>64.554946999999999</v>
      </c>
      <c r="D37" s="6">
        <v>71.403946000000005</v>
      </c>
      <c r="E37" s="6">
        <v>54.012028000000001</v>
      </c>
      <c r="F37" s="6">
        <v>259.85730000000001</v>
      </c>
      <c r="G37" s="6">
        <v>89.068084999999996</v>
      </c>
      <c r="I37" s="7">
        <f t="shared" si="10"/>
        <v>-2.6704681652450452E-2</v>
      </c>
      <c r="J37" s="7">
        <f t="shared" si="11"/>
        <v>-3.7555522305353015E-2</v>
      </c>
      <c r="K37" s="7">
        <f t="shared" si="12"/>
        <v>-7.2049578278687671E-3</v>
      </c>
      <c r="L37" s="7">
        <f t="shared" si="13"/>
        <v>1.8092726922610746E-3</v>
      </c>
      <c r="M37" s="7">
        <f t="shared" si="14"/>
        <v>-6.377117257501963E-2</v>
      </c>
      <c r="N37" s="7">
        <f t="shared" si="15"/>
        <v>2.1441530354166898E-3</v>
      </c>
      <c r="O37" s="109"/>
      <c r="Q37" s="8" cm="1">
        <f t="array" ref="Q37">(PRODUCT(1 + I$20:I37)*$K$2)-$K$2</f>
        <v>201.66354179421819</v>
      </c>
      <c r="R37" s="8" cm="1">
        <f t="array" ref="R37">(PRODUCT(1 + J$20:J37)*$K$2)-$K$2</f>
        <v>-2.7939710716864283</v>
      </c>
      <c r="S37" s="8" cm="1">
        <f t="array" ref="S37">(PRODUCT(1 + K$20:K37)*$K$2)-$K$2</f>
        <v>618.61363565370289</v>
      </c>
      <c r="T37" s="8" cm="1">
        <f t="array" ref="T37">(PRODUCT(1 + L$20:L37)*$K$2)-$K$2</f>
        <v>133.11953192277133</v>
      </c>
      <c r="U37" s="8" cm="1">
        <f t="array" ref="U37">(PRODUCT(1 + M$20:M37)*$K$2)-$K$2</f>
        <v>68.541611943226826</v>
      </c>
      <c r="V37" s="8" cm="1">
        <f t="array" ref="V37">(PRODUCT(1 + N$20:N37)*$K$2)-$K$2</f>
        <v>26.564077820093644</v>
      </c>
    </row>
    <row r="38" spans="1:22" x14ac:dyDescent="0.2">
      <c r="A38" s="1">
        <v>43617</v>
      </c>
      <c r="B38" s="6">
        <v>101.269096</v>
      </c>
      <c r="C38" s="6">
        <v>66.455787999999998</v>
      </c>
      <c r="D38" s="6">
        <v>70.325432000000006</v>
      </c>
      <c r="E38" s="6">
        <v>55.378470999999998</v>
      </c>
      <c r="F38" s="6">
        <v>276.59463499999998</v>
      </c>
      <c r="G38" s="6">
        <v>89.227836999999994</v>
      </c>
      <c r="I38" s="7">
        <f t="shared" si="10"/>
        <v>6.5494188233375494E-2</v>
      </c>
      <c r="J38" s="7">
        <f t="shared" si="11"/>
        <v>2.9445318884701428E-2</v>
      </c>
      <c r="K38" s="7">
        <f t="shared" si="12"/>
        <v>-1.5104403333675681E-2</v>
      </c>
      <c r="L38" s="7">
        <f t="shared" si="13"/>
        <v>2.5298864912089519E-2</v>
      </c>
      <c r="M38" s="7">
        <f t="shared" si="14"/>
        <v>6.4409716409737083E-2</v>
      </c>
      <c r="N38" s="7">
        <f t="shared" si="15"/>
        <v>1.7935941925774812E-3</v>
      </c>
      <c r="O38" s="109"/>
      <c r="Q38" s="8" cm="1">
        <f t="array" ref="Q38">(PRODUCT(1 + I$20:I38)*$K$2)-$K$2</f>
        <v>280.36551999367316</v>
      </c>
      <c r="R38" s="8" cm="1">
        <f t="array" ref="R38">(PRODUCT(1 + J$20:J38)*$K$2)-$K$2</f>
        <v>26.569078443854551</v>
      </c>
      <c r="S38" s="8" cm="1">
        <f t="array" ref="S38">(PRODUCT(1 + K$20:K38)*$K$2)-$K$2</f>
        <v>594.16544245940213</v>
      </c>
      <c r="T38" s="8" cm="1">
        <f t="array" ref="T38">(PRODUCT(1 + L$20:L38)*$K$2)-$K$2</f>
        <v>161.78616989013562</v>
      </c>
      <c r="U38" s="8" cm="1">
        <f t="array" ref="U38">(PRODUCT(1 + M$20:M38)*$K$2)-$K$2</f>
        <v>137.36607414049308</v>
      </c>
      <c r="V38" s="8" cm="1">
        <f t="array" ref="V38">(PRODUCT(1 + N$20:N38)*$K$2)-$K$2</f>
        <v>28.405317188380423</v>
      </c>
    </row>
    <row r="39" spans="1:22" x14ac:dyDescent="0.2">
      <c r="A39" s="1">
        <v>43647</v>
      </c>
      <c r="B39" s="6">
        <v>109.01783</v>
      </c>
      <c r="C39" s="6">
        <v>66.520706000000004</v>
      </c>
      <c r="D39" s="6">
        <v>72.616332999999997</v>
      </c>
      <c r="E39" s="6">
        <v>53.725242999999999</v>
      </c>
      <c r="F39" s="6">
        <v>282.14211999999998</v>
      </c>
      <c r="G39" s="6">
        <v>89.399574000000001</v>
      </c>
      <c r="I39" s="7">
        <f t="shared" si="10"/>
        <v>7.6516275014442692E-2</v>
      </c>
      <c r="J39" s="7">
        <f t="shared" si="11"/>
        <v>9.7685998396416281E-4</v>
      </c>
      <c r="K39" s="7">
        <f t="shared" si="12"/>
        <v>3.2575711728297534E-2</v>
      </c>
      <c r="L39" s="7">
        <f t="shared" si="13"/>
        <v>-2.9853261929170972E-2</v>
      </c>
      <c r="M39" s="7">
        <f t="shared" si="14"/>
        <v>2.0056372387700128E-2</v>
      </c>
      <c r="N39" s="7">
        <f t="shared" si="15"/>
        <v>1.9247020411355187E-3</v>
      </c>
      <c r="O39" s="109"/>
      <c r="Q39" s="8" cm="1">
        <f t="array" ref="Q39">(PRODUCT(1 + I$20:I39)*$K$2)-$K$2</f>
        <v>378.33432024051899</v>
      </c>
      <c r="R39" s="8" cm="1">
        <f t="array" ref="R39">(PRODUCT(1 + J$20:J39)*$K$2)-$K$2</f>
        <v>27.571892697361363</v>
      </c>
      <c r="S39" s="8" cm="1">
        <f t="array" ref="S39">(PRODUCT(1 + K$20:K39)*$K$2)-$K$2</f>
        <v>646.09651636017338</v>
      </c>
      <c r="T39" s="8" cm="1">
        <f t="array" ref="T39">(PRODUCT(1 + L$20:L39)*$K$2)-$K$2</f>
        <v>127.10306305471727</v>
      </c>
      <c r="U39" s="8" cm="1">
        <f t="array" ref="U39">(PRODUCT(1 + M$20:M39)*$K$2)-$K$2</f>
        <v>160.17751166459129</v>
      </c>
      <c r="V39" s="8" cm="1">
        <f t="array" ref="V39">(PRODUCT(1 + N$20:N39)*$K$2)-$K$2</f>
        <v>30.384691001487454</v>
      </c>
    </row>
    <row r="40" spans="1:22" x14ac:dyDescent="0.2">
      <c r="A40" s="1">
        <v>43678</v>
      </c>
      <c r="B40" s="6">
        <v>111.759529</v>
      </c>
      <c r="C40" s="6">
        <v>69.154526000000004</v>
      </c>
      <c r="D40" s="6">
        <v>76.793892</v>
      </c>
      <c r="E40" s="6">
        <v>56.459766000000002</v>
      </c>
      <c r="F40" s="6">
        <v>277.41815200000002</v>
      </c>
      <c r="G40" s="6">
        <v>89.560890000000001</v>
      </c>
      <c r="I40" s="7">
        <f t="shared" si="10"/>
        <v>2.5149087997807303E-2</v>
      </c>
      <c r="J40" s="7">
        <f t="shared" si="11"/>
        <v>3.9593987472111312E-2</v>
      </c>
      <c r="K40" s="7">
        <f t="shared" si="12"/>
        <v>5.7529192502739052E-2</v>
      </c>
      <c r="L40" s="7">
        <f t="shared" si="13"/>
        <v>5.0898290027278296E-2</v>
      </c>
      <c r="M40" s="7">
        <f t="shared" si="14"/>
        <v>-1.6743221465834159E-2</v>
      </c>
      <c r="N40" s="7">
        <f t="shared" si="15"/>
        <v>1.8044381285306722E-3</v>
      </c>
      <c r="O40" s="109"/>
      <c r="Q40" s="8" cm="1">
        <f t="array" ref="Q40">(PRODUCT(1 + I$20:I40)*$K$2)-$K$2</f>
        <v>412.99817135064563</v>
      </c>
      <c r="R40" s="8" cm="1">
        <f t="array" ref="R40">(PRODUCT(1 + J$20:J40)*$K$2)-$K$2</f>
        <v>68.257561343514681</v>
      </c>
      <c r="S40" s="8" cm="1">
        <f t="array" ref="S40">(PRODUCT(1 + K$20:K40)*$K$2)-$K$2</f>
        <v>740.7951197279458</v>
      </c>
      <c r="T40" s="8" cm="1">
        <f t="array" ref="T40">(PRODUCT(1 + L$20:L40)*$K$2)-$K$2</f>
        <v>184.47068164870984</v>
      </c>
      <c r="U40" s="8" cm="1">
        <f t="array" ref="U40">(PRODUCT(1 + M$20:M40)*$K$2)-$K$2</f>
        <v>140.75240264711078</v>
      </c>
      <c r="V40" s="8" cm="1">
        <f t="array" ref="V40">(PRODUCT(1 + N$20:N40)*$K$2)-$K$2</f>
        <v>32.243956424985072</v>
      </c>
    </row>
    <row r="41" spans="1:22" x14ac:dyDescent="0.2">
      <c r="A41" s="1">
        <v>43709</v>
      </c>
      <c r="B41" s="6">
        <v>115.617149</v>
      </c>
      <c r="C41" s="6">
        <v>68.557640000000006</v>
      </c>
      <c r="D41" s="6">
        <v>72.634979000000001</v>
      </c>
      <c r="E41" s="6">
        <v>54.125689999999999</v>
      </c>
      <c r="F41" s="6">
        <v>281.516052</v>
      </c>
      <c r="G41" s="6">
        <v>89.693100000000001</v>
      </c>
      <c r="I41" s="7">
        <f t="shared" si="10"/>
        <v>3.4517146184465372E-2</v>
      </c>
      <c r="J41" s="7">
        <f t="shared" si="11"/>
        <v>-8.6311921218286975E-3</v>
      </c>
      <c r="K41" s="7">
        <f t="shared" si="12"/>
        <v>-5.4156820180438284E-2</v>
      </c>
      <c r="L41" s="7">
        <f t="shared" si="13"/>
        <v>-4.1340518485322858E-2</v>
      </c>
      <c r="M41" s="7">
        <f t="shared" si="14"/>
        <v>1.4771564046753441E-2</v>
      </c>
      <c r="N41" s="7">
        <f t="shared" si="15"/>
        <v>1.4762023914679789E-3</v>
      </c>
      <c r="O41" s="109"/>
      <c r="Q41" s="8" cm="1">
        <f t="array" ref="Q41">(PRODUCT(1 + I$20:I41)*$K$2)-$K$2</f>
        <v>461.77083578953807</v>
      </c>
      <c r="R41" s="8" cm="1">
        <f t="array" ref="R41">(PRODUCT(1 + J$20:J41)*$K$2)-$K$2</f>
        <v>59.03722509596264</v>
      </c>
      <c r="S41" s="8" cm="1">
        <f t="array" ref="S41">(PRODUCT(1 + K$20:K41)*$K$2)-$K$2</f>
        <v>646.51919145785496</v>
      </c>
      <c r="T41" s="8" cm="1">
        <f t="array" ref="T41">(PRODUCT(1 + L$20:L41)*$K$2)-$K$2</f>
        <v>135.50404953868838</v>
      </c>
      <c r="U41" s="8" cm="1">
        <f t="array" ref="U41">(PRODUCT(1 + M$20:M41)*$K$2)-$K$2</f>
        <v>157.60309982430022</v>
      </c>
      <c r="V41" s="8" cm="1">
        <f t="array" ref="V41">(PRODUCT(1 + N$20:N41)*$K$2)-$K$2</f>
        <v>33.76775742203813</v>
      </c>
    </row>
    <row r="42" spans="1:22" x14ac:dyDescent="0.2">
      <c r="A42" s="1">
        <v>43739</v>
      </c>
      <c r="B42" s="6">
        <v>115.737999</v>
      </c>
      <c r="C42" s="6">
        <v>63.978416000000003</v>
      </c>
      <c r="D42" s="6">
        <v>67.518485999999996</v>
      </c>
      <c r="E42" s="6">
        <v>54.134692999999999</v>
      </c>
      <c r="F42" s="6">
        <v>289.06768799999998</v>
      </c>
      <c r="G42" s="6">
        <v>89.867683</v>
      </c>
      <c r="I42" s="7">
        <f t="shared" si="10"/>
        <v>1.0452601629192945E-3</v>
      </c>
      <c r="J42" s="7">
        <f t="shared" si="11"/>
        <v>-6.679378111615282E-2</v>
      </c>
      <c r="K42" s="7">
        <f t="shared" si="12"/>
        <v>-7.0441171326008162E-2</v>
      </c>
      <c r="L42" s="7">
        <f t="shared" si="13"/>
        <v>1.6633506196410378E-4</v>
      </c>
      <c r="M42" s="7">
        <f t="shared" si="14"/>
        <v>2.6824885992646607E-2</v>
      </c>
      <c r="N42" s="7">
        <f t="shared" si="15"/>
        <v>1.9464485004977905E-3</v>
      </c>
      <c r="O42" s="109"/>
      <c r="Q42" s="8" cm="1">
        <f t="array" ref="Q42">(PRODUCT(1 + I$20:I42)*$K$2)-$K$2</f>
        <v>463.29876661150615</v>
      </c>
      <c r="R42" s="8" cm="1">
        <f t="array" ref="R42">(PRODUCT(1 + J$20:J42)*$K$2)-$K$2</f>
        <v>-11.699875510955053</v>
      </c>
      <c r="S42" s="8" cm="1">
        <f t="array" ref="S42">(PRODUCT(1 + K$20:K42)*$K$2)-$K$2</f>
        <v>530.53645100081189</v>
      </c>
      <c r="T42" s="8" cm="1">
        <f t="array" ref="T42">(PRODUCT(1 + L$20:L42)*$K$2)-$K$2</f>
        <v>135.69292367512867</v>
      </c>
      <c r="U42" s="8" cm="1">
        <f t="array" ref="U42">(PRODUCT(1 + M$20:M42)*$K$2)-$K$2</f>
        <v>188.65567100182147</v>
      </c>
      <c r="V42" s="8" cm="1">
        <f t="array" ref="V42">(PRODUCT(1 + N$20:N42)*$K$2)-$K$2</f>
        <v>35.77993312333524</v>
      </c>
    </row>
    <row r="43" spans="1:22" x14ac:dyDescent="0.2">
      <c r="A43" s="1">
        <v>43770</v>
      </c>
      <c r="B43" s="6">
        <v>114.18536400000001</v>
      </c>
      <c r="C43" s="6">
        <v>63.651702999999998</v>
      </c>
      <c r="D43" s="6">
        <v>67.808090000000007</v>
      </c>
      <c r="E43" s="6">
        <v>53.981910999999997</v>
      </c>
      <c r="F43" s="6">
        <v>299.53140300000001</v>
      </c>
      <c r="G43" s="6">
        <v>89.963013000000004</v>
      </c>
      <c r="I43" s="7">
        <f t="shared" si="10"/>
        <v>-1.3415084185099789E-2</v>
      </c>
      <c r="J43" s="7">
        <f t="shared" si="11"/>
        <v>-5.1066128301770573E-3</v>
      </c>
      <c r="K43" s="7">
        <f t="shared" si="12"/>
        <v>4.289254945675342E-3</v>
      </c>
      <c r="L43" s="7">
        <f t="shared" si="13"/>
        <v>-2.8222566995993121E-3</v>
      </c>
      <c r="M43" s="7">
        <f t="shared" si="14"/>
        <v>3.6198148165214633E-2</v>
      </c>
      <c r="N43" s="7">
        <f t="shared" si="15"/>
        <v>1.0607817717966995E-3</v>
      </c>
      <c r="O43" s="109"/>
      <c r="Q43" s="8" cm="1">
        <f t="array" ref="Q43">(PRODUCT(1 + I$20:I43)*$K$2)-$K$2</f>
        <v>443.66849046946027</v>
      </c>
      <c r="R43" s="8" cm="1">
        <f t="array" ref="R43">(PRODUCT(1 + J$20:J43)*$K$2)-$K$2</f>
        <v>-16.746741606736464</v>
      </c>
      <c r="S43" s="8" cm="1">
        <f t="array" ref="S43">(PRODUCT(1 + K$20:K43)*$K$2)-$K$2</f>
        <v>537.10131204280356</v>
      </c>
      <c r="T43" s="8" cm="1">
        <f t="array" ref="T43">(PRODUCT(1 + L$20:L43)*$K$2)-$K$2</f>
        <v>132.48770671259922</v>
      </c>
      <c r="U43" s="8" cm="1">
        <f t="array" ref="U43">(PRODUCT(1 + M$20:M43)*$K$2)-$K$2</f>
        <v>231.68280509816805</v>
      </c>
      <c r="V43" s="8" cm="1">
        <f t="array" ref="V43">(PRODUCT(1 + N$20:N43)*$K$2)-$K$2</f>
        <v>36.87866959598523</v>
      </c>
    </row>
    <row r="44" spans="1:22" x14ac:dyDescent="0.2">
      <c r="A44" s="1">
        <v>43800</v>
      </c>
      <c r="B44" s="6">
        <v>116.84215500000001</v>
      </c>
      <c r="C44" s="6">
        <v>64.609009</v>
      </c>
      <c r="D44" s="6">
        <v>68.141509999999997</v>
      </c>
      <c r="E44" s="6">
        <v>51.876708999999998</v>
      </c>
      <c r="F44" s="6">
        <v>306.72644000000003</v>
      </c>
      <c r="G44" s="6">
        <v>89.971817000000001</v>
      </c>
      <c r="I44" s="7">
        <f t="shared" si="10"/>
        <v>2.3267351496992189E-2</v>
      </c>
      <c r="J44" s="7">
        <f t="shared" si="11"/>
        <v>1.5039754710097901E-2</v>
      </c>
      <c r="K44" s="7">
        <f t="shared" si="12"/>
        <v>4.9171123976503332E-3</v>
      </c>
      <c r="L44" s="7">
        <f t="shared" si="13"/>
        <v>-3.8998285925816861E-2</v>
      </c>
      <c r="M44" s="7">
        <f t="shared" si="14"/>
        <v>2.4020977192832142E-2</v>
      </c>
      <c r="N44" s="7">
        <f t="shared" si="15"/>
        <v>9.786244042313048E-5</v>
      </c>
      <c r="O44" s="109"/>
      <c r="Q44" s="8" cm="1">
        <f t="array" ref="Q44">(PRODUCT(1 + I$20:I44)*$K$2)-$K$2</f>
        <v>477.2588326823452</v>
      </c>
      <c r="R44" s="8" cm="1">
        <f t="array" ref="R44">(PRODUCT(1 + J$20:J44)*$K$2)-$K$2</f>
        <v>-1.9588537825972026</v>
      </c>
      <c r="S44" s="8" cm="1">
        <f t="array" ref="S44">(PRODUCT(1 + K$20:K44)*$K$2)-$K$2</f>
        <v>544.65941196069411</v>
      </c>
      <c r="T44" s="8" cm="1">
        <f t="array" ref="T44">(PRODUCT(1 + L$20:L44)*$K$2)-$K$2</f>
        <v>88.322627318748573</v>
      </c>
      <c r="U44" s="8" cm="1">
        <f t="array" ref="U44">(PRODUCT(1 + M$20:M44)*$K$2)-$K$2</f>
        <v>261.26902966823468</v>
      </c>
      <c r="V44" s="8" cm="1">
        <f t="array" ref="V44">(PRODUCT(1 + N$20:N44)*$K$2)-$K$2</f>
        <v>36.980141073014693</v>
      </c>
    </row>
    <row r="45" spans="1:22" x14ac:dyDescent="0.2">
      <c r="A45" s="1">
        <v>43831</v>
      </c>
      <c r="B45" s="6">
        <v>116.580208</v>
      </c>
      <c r="C45" s="6">
        <v>69.245391999999995</v>
      </c>
      <c r="D45" s="6">
        <v>71.890022000000002</v>
      </c>
      <c r="E45" s="6">
        <v>54.235984999999999</v>
      </c>
      <c r="F45" s="6">
        <v>308.10995500000001</v>
      </c>
      <c r="G45" s="6">
        <v>90.308800000000005</v>
      </c>
      <c r="I45" s="7">
        <f t="shared" si="10"/>
        <v>-2.2418877844216957E-3</v>
      </c>
      <c r="J45" s="7">
        <f t="shared" si="11"/>
        <v>7.1760627066729893E-2</v>
      </c>
      <c r="K45" s="7">
        <f t="shared" si="12"/>
        <v>5.5010697590939878E-2</v>
      </c>
      <c r="L45" s="7">
        <f t="shared" si="13"/>
        <v>4.5478521006411594E-2</v>
      </c>
      <c r="M45" s="7">
        <f t="shared" si="14"/>
        <v>4.510582785103196E-3</v>
      </c>
      <c r="N45" s="7">
        <f t="shared" si="15"/>
        <v>3.7454284156560225E-3</v>
      </c>
      <c r="O45" s="109"/>
      <c r="Q45" s="8" cm="1">
        <f t="array" ref="Q45">(PRODUCT(1 + I$20:I45)*$K$2)-$K$2</f>
        <v>473.94698415092557</v>
      </c>
      <c r="R45" s="8" cm="1">
        <f t="array" ref="R45">(PRODUCT(1 + J$20:J45)*$K$2)-$K$2</f>
        <v>69.661204708361538</v>
      </c>
      <c r="S45" s="8" cm="1">
        <f t="array" ref="S45">(PRODUCT(1 + K$20:K45)*$K$2)-$K$2</f>
        <v>629.63220375306287</v>
      </c>
      <c r="T45" s="8" cm="1">
        <f t="array" ref="T45">(PRODUCT(1 + L$20:L45)*$K$2)-$K$2</f>
        <v>137.8179307870173</v>
      </c>
      <c r="U45" s="8" cm="1">
        <f t="array" ref="U45">(PRODUCT(1 + M$20:M45)*$K$2)-$K$2</f>
        <v>266.95808804084027</v>
      </c>
      <c r="V45" s="8" cm="1">
        <f t="array" ref="V45">(PRODUCT(1 + N$20:N45)*$K$2)-$K$2</f>
        <v>40.864075959860429</v>
      </c>
    </row>
    <row r="46" spans="1:22" x14ac:dyDescent="0.2">
      <c r="A46" s="1">
        <v>43862</v>
      </c>
      <c r="B46" s="6">
        <v>106.55435900000001</v>
      </c>
      <c r="C46" s="6">
        <v>63.801903000000003</v>
      </c>
      <c r="D46" s="6">
        <v>67.337563000000003</v>
      </c>
      <c r="E46" s="6">
        <v>48.936691000000003</v>
      </c>
      <c r="F46" s="6">
        <v>283.71820100000002</v>
      </c>
      <c r="G46" s="6">
        <v>90.308800000000005</v>
      </c>
      <c r="I46" s="7">
        <f t="shared" si="10"/>
        <v>-8.599958064922987E-2</v>
      </c>
      <c r="J46" s="7">
        <f t="shared" si="11"/>
        <v>-7.8611570283261489E-2</v>
      </c>
      <c r="K46" s="7">
        <f t="shared" si="12"/>
        <v>-6.3325324896965518E-2</v>
      </c>
      <c r="L46" s="7">
        <f t="shared" si="13"/>
        <v>-9.7708080714307963E-2</v>
      </c>
      <c r="M46" s="7">
        <f t="shared" si="14"/>
        <v>-7.9165744579723141E-2</v>
      </c>
      <c r="N46" s="7">
        <f t="shared" si="15"/>
        <v>0</v>
      </c>
      <c r="O46" s="109"/>
      <c r="Q46" s="8" cm="1">
        <f t="array" ref="Q46">(PRODUCT(1 + I$20:I46)*$K$2)-$K$2</f>
        <v>347.18816161474888</v>
      </c>
      <c r="R46" s="8" cm="1">
        <f t="array" ref="R46">(PRODUCT(1 + J$20:J46)*$K$2)-$K$2</f>
        <v>-14.426542264847967</v>
      </c>
      <c r="S46" s="8" cm="1">
        <f t="array" ref="S46">(PRODUCT(1 + K$20:K46)*$K$2)-$K$2</f>
        <v>526.43521498784207</v>
      </c>
      <c r="T46" s="8" cm="1">
        <f t="array" ref="T46">(PRODUCT(1 + L$20:L46)*$K$2)-$K$2</f>
        <v>26.643924567492604</v>
      </c>
      <c r="U46" s="8" cm="1">
        <f t="array" ref="U46">(PRODUCT(1 + M$20:M46)*$K$2)-$K$2</f>
        <v>166.65840764978452</v>
      </c>
      <c r="V46" s="8" cm="1">
        <f t="array" ref="V46">(PRODUCT(1 + N$20:N46)*$K$2)-$K$2</f>
        <v>40.864075959860429</v>
      </c>
    </row>
    <row r="47" spans="1:22" x14ac:dyDescent="0.2">
      <c r="A47" s="1">
        <v>43891</v>
      </c>
      <c r="B47" s="6">
        <v>103.51477800000001</v>
      </c>
      <c r="C47" s="6">
        <v>62.659370000000003</v>
      </c>
      <c r="D47" s="6">
        <v>62.36298</v>
      </c>
      <c r="E47" s="6">
        <v>46.236393</v>
      </c>
      <c r="F47" s="6">
        <v>246.83845500000001</v>
      </c>
      <c r="G47" s="6">
        <v>90.504356000000001</v>
      </c>
      <c r="I47" s="7">
        <f t="shared" si="10"/>
        <v>-2.8526106566883841E-2</v>
      </c>
      <c r="J47" s="7">
        <f t="shared" si="11"/>
        <v>-1.79075066146538E-2</v>
      </c>
      <c r="K47" s="7">
        <f t="shared" si="12"/>
        <v>-7.387530493195904E-2</v>
      </c>
      <c r="L47" s="7">
        <f t="shared" si="13"/>
        <v>-5.5179415379760829E-2</v>
      </c>
      <c r="M47" s="7">
        <f t="shared" si="14"/>
        <v>-0.12998724040266987</v>
      </c>
      <c r="N47" s="7">
        <f t="shared" si="15"/>
        <v>2.1654146661233046E-3</v>
      </c>
      <c r="O47" s="109"/>
      <c r="Q47" s="8" cm="1">
        <f t="array" ref="Q47">(PRODUCT(1 + I$20:I47)*$K$2)-$K$2</f>
        <v>308.75812855088225</v>
      </c>
      <c r="R47" s="8" cm="1">
        <f t="array" ref="R47">(PRODUCT(1 + J$20:J47)*$K$2)-$K$2</f>
        <v>-32.075705478467398</v>
      </c>
      <c r="S47" s="8" cm="1">
        <f t="array" ref="S47">(PRODUCT(1 + K$20:K47)*$K$2)-$K$2</f>
        <v>413.66934802173478</v>
      </c>
      <c r="T47" s="8" cm="1">
        <f t="array" ref="T47">(PRODUCT(1 + L$20:L47)*$K$2)-$K$2</f>
        <v>-30.005686993324957</v>
      </c>
      <c r="U47" s="8" cm="1">
        <f t="array" ref="U47">(PRODUCT(1 + M$20:M47)*$K$2)-$K$2</f>
        <v>15.007700746816113</v>
      </c>
      <c r="V47" s="8" cm="1">
        <f t="array" ref="V47">(PRODUCT(1 + N$20:N47)*$K$2)-$K$2</f>
        <v>43.117978295385001</v>
      </c>
    </row>
    <row r="48" spans="1:22" x14ac:dyDescent="0.2">
      <c r="A48" s="1">
        <v>43922</v>
      </c>
      <c r="B48" s="6">
        <v>110.920799</v>
      </c>
      <c r="C48" s="6">
        <v>66.351333999999994</v>
      </c>
      <c r="D48" s="6">
        <v>68.008483999999996</v>
      </c>
      <c r="E48" s="6">
        <v>47.424995000000003</v>
      </c>
      <c r="F48" s="6">
        <v>279.81866500000001</v>
      </c>
      <c r="G48" s="6">
        <v>90.531150999999994</v>
      </c>
      <c r="I48" s="7">
        <f t="shared" si="10"/>
        <v>7.1545542994836883E-2</v>
      </c>
      <c r="J48" s="7">
        <f t="shared" si="11"/>
        <v>5.8921179705445352E-2</v>
      </c>
      <c r="K48" s="7">
        <f t="shared" si="12"/>
        <v>9.0526527115926708E-2</v>
      </c>
      <c r="L48" s="7">
        <f t="shared" si="13"/>
        <v>2.5707065860436022E-2</v>
      </c>
      <c r="M48" s="7">
        <f t="shared" si="14"/>
        <v>0.13361050246405082</v>
      </c>
      <c r="N48" s="7">
        <f t="shared" si="15"/>
        <v>2.9606309778053996E-4</v>
      </c>
      <c r="O48" s="109"/>
      <c r="Q48" s="8" cm="1">
        <f t="array" ref="Q48">(PRODUCT(1 + I$20:I48)*$K$2)-$K$2</f>
        <v>402.39393950696149</v>
      </c>
      <c r="R48" s="8" cm="1">
        <f t="array" ref="R48">(PRODUCT(1 + J$20:J48)*$K$2)-$K$2</f>
        <v>24.95553582030243</v>
      </c>
      <c r="S48" s="8" cm="1">
        <f t="array" ref="S48">(PRODUCT(1 + K$20:K48)*$K$2)-$K$2</f>
        <v>541.64392458837892</v>
      </c>
      <c r="T48" s="8" cm="1">
        <f t="array" ref="T48">(PRODUCT(1 + L$20:L48)*$K$2)-$K$2</f>
        <v>-5.069979304614094</v>
      </c>
      <c r="U48" s="8" cm="1">
        <f t="array" ref="U48">(PRODUCT(1 + M$20:M48)*$K$2)-$K$2</f>
        <v>150.62338964847913</v>
      </c>
      <c r="V48" s="8" cm="1">
        <f t="array" ref="V48">(PRODUCT(1 + N$20:N48)*$K$2)-$K$2</f>
        <v>43.426807035389857</v>
      </c>
    </row>
    <row r="49" spans="1:22" x14ac:dyDescent="0.2">
      <c r="A49" s="1">
        <v>43952</v>
      </c>
      <c r="B49" s="6">
        <v>109.813248</v>
      </c>
      <c r="C49" s="6">
        <v>68.711510000000004</v>
      </c>
      <c r="D49" s="6">
        <v>72.944678999999994</v>
      </c>
      <c r="E49" s="6">
        <v>49.418182000000002</v>
      </c>
      <c r="F49" s="6">
        <v>293.15069599999998</v>
      </c>
      <c r="G49" s="6">
        <v>90.552879000000004</v>
      </c>
      <c r="I49" s="7">
        <f t="shared" si="10"/>
        <v>-9.9850615032082563E-3</v>
      </c>
      <c r="J49" s="7">
        <f t="shared" si="11"/>
        <v>3.5570889953772597E-2</v>
      </c>
      <c r="K49" s="7">
        <f t="shared" si="12"/>
        <v>7.2582047263397287E-2</v>
      </c>
      <c r="L49" s="7">
        <f t="shared" si="13"/>
        <v>4.2028196312935799E-2</v>
      </c>
      <c r="M49" s="7">
        <f t="shared" si="14"/>
        <v>4.7645252685341671E-2</v>
      </c>
      <c r="N49" s="7">
        <f t="shared" si="15"/>
        <v>2.400057854120311E-4</v>
      </c>
      <c r="O49" s="109"/>
      <c r="Q49" s="8" cm="1">
        <f t="array" ref="Q49">(PRODUCT(1 + I$20:I49)*$K$2)-$K$2</f>
        <v>388.39094976925821</v>
      </c>
      <c r="R49" s="8" cm="1">
        <f t="array" ref="R49">(PRODUCT(1 + J$20:J49)*$K$2)-$K$2</f>
        <v>61.414116392476444</v>
      </c>
      <c r="S49" s="8" cm="1">
        <f t="array" ref="S49">(PRODUCT(1 + K$20:K49)*$K$2)-$K$2</f>
        <v>653.53959678618185</v>
      </c>
      <c r="T49" s="8" cm="1">
        <f t="array" ref="T49">(PRODUCT(1 + L$20:L49)*$K$2)-$K$2</f>
        <v>36.745134922804937</v>
      </c>
      <c r="U49" s="8" cm="1">
        <f t="array" ref="U49">(PRODUCT(1 + M$20:M49)*$K$2)-$K$2</f>
        <v>205.44513179394539</v>
      </c>
      <c r="V49" s="8" cm="1">
        <f t="array" ref="V49">(PRODUCT(1 + N$20:N49)*$K$2)-$K$2</f>
        <v>43.677235505732142</v>
      </c>
    </row>
    <row r="50" spans="1:22" x14ac:dyDescent="0.2">
      <c r="A50" s="1">
        <v>43983</v>
      </c>
      <c r="B50" s="6">
        <v>113.270966</v>
      </c>
      <c r="C50" s="6">
        <v>69.594994</v>
      </c>
      <c r="D50" s="6">
        <v>75.357765000000001</v>
      </c>
      <c r="E50" s="6">
        <v>50.612015</v>
      </c>
      <c r="F50" s="6">
        <v>297.04238900000001</v>
      </c>
      <c r="G50" s="6">
        <v>90.566727</v>
      </c>
      <c r="I50" s="7">
        <f t="shared" si="10"/>
        <v>3.1487257348038734E-2</v>
      </c>
      <c r="J50" s="7">
        <f t="shared" si="11"/>
        <v>1.2857874903345825E-2</v>
      </c>
      <c r="K50" s="7">
        <f t="shared" si="12"/>
        <v>3.3081042141538619E-2</v>
      </c>
      <c r="L50" s="7">
        <f t="shared" si="13"/>
        <v>2.4157768490957396E-2</v>
      </c>
      <c r="M50" s="7">
        <f t="shared" si="14"/>
        <v>1.3275400853900863E-2</v>
      </c>
      <c r="N50" s="7">
        <f t="shared" si="15"/>
        <v>1.5292721946472693E-4</v>
      </c>
      <c r="O50" s="109"/>
      <c r="Q50" s="8" cm="1">
        <f t="array" ref="Q50">(PRODUCT(1 + I$20:I50)*$K$2)-$K$2</f>
        <v>432.10757290433071</v>
      </c>
      <c r="R50" s="8" cm="1">
        <f t="array" ref="R50">(PRODUCT(1 + J$20:J50)*$K$2)-$K$2</f>
        <v>75.061646321696117</v>
      </c>
      <c r="S50" s="8" cm="1">
        <f t="array" ref="S50">(PRODUCT(1 + K$20:K50)*$K$2)-$K$2</f>
        <v>708.24040987016838</v>
      </c>
      <c r="T50" s="8" cm="1">
        <f t="array" ref="T50">(PRODUCT(1 + L$20:L50)*$K$2)-$K$2</f>
        <v>61.79058387639634</v>
      </c>
      <c r="U50" s="8" cm="1">
        <f t="array" ref="U50">(PRODUCT(1 + M$20:M50)*$K$2)-$K$2</f>
        <v>221.4478991258934</v>
      </c>
      <c r="V50" s="8" cm="1">
        <f t="array" ref="V50">(PRODUCT(1 + N$20:N50)*$K$2)-$K$2</f>
        <v>43.836842163376787</v>
      </c>
    </row>
    <row r="51" spans="1:22" x14ac:dyDescent="0.2">
      <c r="A51" s="1">
        <v>44013</v>
      </c>
      <c r="B51" s="6">
        <v>124.212509</v>
      </c>
      <c r="C51" s="6">
        <v>73.337890999999999</v>
      </c>
      <c r="D51" s="6">
        <v>93.909644999999998</v>
      </c>
      <c r="E51" s="6">
        <v>55.776508</v>
      </c>
      <c r="F51" s="6">
        <v>315.920074</v>
      </c>
      <c r="G51" s="6">
        <v>90.576622</v>
      </c>
      <c r="I51" s="7">
        <f t="shared" si="10"/>
        <v>9.6596183350285858E-2</v>
      </c>
      <c r="J51" s="7">
        <f t="shared" si="11"/>
        <v>5.3781123969922309E-2</v>
      </c>
      <c r="K51" s="7">
        <f t="shared" si="12"/>
        <v>0.24618405283118464</v>
      </c>
      <c r="L51" s="7">
        <f t="shared" si="13"/>
        <v>0.10204084939119694</v>
      </c>
      <c r="M51" s="7">
        <f t="shared" si="14"/>
        <v>6.3552158543944332E-2</v>
      </c>
      <c r="N51" s="7">
        <f t="shared" si="15"/>
        <v>1.092564601567219E-4</v>
      </c>
      <c r="O51" s="109"/>
      <c r="Q51" s="8" cm="1">
        <f t="array" ref="Q51">(PRODUCT(1 + I$20:I51)*$K$2)-$K$2</f>
        <v>570.44369859393055</v>
      </c>
      <c r="R51" s="8" cm="1">
        <f t="array" ref="R51">(PRODUCT(1 + J$20:J51)*$K$2)-$K$2</f>
        <v>132.87966999783225</v>
      </c>
      <c r="S51" s="8" cm="1">
        <f t="array" ref="S51">(PRODUCT(1 + K$20:K51)*$K$2)-$K$2</f>
        <v>1128.7819571820105</v>
      </c>
      <c r="T51" s="8" cm="1">
        <f t="array" ref="T51">(PRODUCT(1 + L$20:L51)*$K$2)-$K$2</f>
        <v>170.13659693071872</v>
      </c>
      <c r="U51" s="8" cm="1">
        <f t="array" ref="U51">(PRODUCT(1 + M$20:M51)*$K$2)-$K$2</f>
        <v>299.07354966430967</v>
      </c>
      <c r="V51" s="8" cm="1">
        <f t="array" ref="V51">(PRODUCT(1 + N$20:N51)*$K$2)-$K$2</f>
        <v>43.950888081732728</v>
      </c>
    </row>
    <row r="52" spans="1:22" x14ac:dyDescent="0.2">
      <c r="A52" s="1">
        <v>44044</v>
      </c>
      <c r="B52" s="6">
        <v>131.869598</v>
      </c>
      <c r="C52" s="6">
        <v>75.739288000000002</v>
      </c>
      <c r="D52" s="6">
        <v>93.422179999999997</v>
      </c>
      <c r="E52" s="6">
        <v>54.946503</v>
      </c>
      <c r="F52" s="6">
        <v>337.970215</v>
      </c>
      <c r="G52" s="6">
        <v>90.576622</v>
      </c>
      <c r="I52" s="7">
        <f t="shared" ref="I52:I78" si="16">(B52-B51)/B51</f>
        <v>6.1645071512080957E-2</v>
      </c>
      <c r="J52" s="7">
        <f t="shared" ref="J52:J78" si="17">(C52-C51)/C51</f>
        <v>3.2744287669794092E-2</v>
      </c>
      <c r="K52" s="7">
        <f t="shared" ref="K52:K78" si="18">(D52-D51)/D51</f>
        <v>-5.1907873786553047E-3</v>
      </c>
      <c r="L52" s="7">
        <f t="shared" ref="L52:L78" si="19">(E52-E51)/E51</f>
        <v>-1.4880906492030657E-2</v>
      </c>
      <c r="M52" s="7">
        <f t="shared" ref="M52:M78" si="20">(F52-F51)/F51</f>
        <v>6.9796580890899629E-2</v>
      </c>
      <c r="N52" s="7">
        <f t="shared" ref="N52:N78" si="21">(G52-G51)/G51</f>
        <v>0</v>
      </c>
      <c r="O52" s="109"/>
      <c r="Q52" s="8" cm="1">
        <f t="array" ref="Q52">(PRODUCT(1 + I$20:I52)*$K$2)-$K$2</f>
        <v>667.25381269945001</v>
      </c>
      <c r="R52" s="8" cm="1">
        <f t="array" ref="R52">(PRODUCT(1 + J$20:J52)*$K$2)-$K$2</f>
        <v>169.97500780750261</v>
      </c>
      <c r="S52" s="8" cm="1">
        <f t="array" ref="S52">(PRODUCT(1 + K$20:K52)*$K$2)-$K$2</f>
        <v>1117.731902666761</v>
      </c>
      <c r="T52" s="8" cm="1">
        <f t="array" ref="T52">(PRODUCT(1 + L$20:L52)*$K$2)-$K$2</f>
        <v>152.72390364888975</v>
      </c>
      <c r="U52" s="8" cm="1">
        <f t="array" ref="U52">(PRODUCT(1 + M$20:M52)*$K$2)-$K$2</f>
        <v>389.74444175668282</v>
      </c>
      <c r="V52" s="8" cm="1">
        <f t="array" ref="V52">(PRODUCT(1 + N$20:N52)*$K$2)-$K$2</f>
        <v>43.950888081732728</v>
      </c>
    </row>
    <row r="53" spans="1:22" x14ac:dyDescent="0.2">
      <c r="A53" s="1">
        <v>44075</v>
      </c>
      <c r="B53" s="6">
        <v>132.498795</v>
      </c>
      <c r="C53" s="6">
        <v>73.723006999999996</v>
      </c>
      <c r="D53" s="6">
        <v>91.587249999999997</v>
      </c>
      <c r="E53" s="6">
        <v>57.322617000000001</v>
      </c>
      <c r="F53" s="6">
        <v>324.01840199999998</v>
      </c>
      <c r="G53" s="6">
        <v>90.556838999999997</v>
      </c>
      <c r="I53" s="7">
        <f t="shared" si="16"/>
        <v>4.7713575345850745E-3</v>
      </c>
      <c r="J53" s="7">
        <f t="shared" si="17"/>
        <v>-2.6621335547807188E-2</v>
      </c>
      <c r="K53" s="7">
        <f t="shared" si="18"/>
        <v>-1.9641267202285366E-2</v>
      </c>
      <c r="L53" s="7">
        <f t="shared" si="19"/>
        <v>4.3244135118116638E-2</v>
      </c>
      <c r="M53" s="7">
        <f t="shared" si="20"/>
        <v>-4.1281191006728259E-2</v>
      </c>
      <c r="N53" s="7">
        <f t="shared" si="21"/>
        <v>-2.1841176633860204E-4</v>
      </c>
      <c r="O53" s="109"/>
      <c r="Q53" s="8" cm="1">
        <f t="array" ref="Q53">(PRODUCT(1 + I$20:I53)*$K$2)-$K$2</f>
        <v>675.20887674073947</v>
      </c>
      <c r="R53" s="8" cm="1">
        <f t="array" ref="R53">(PRODUCT(1 + J$20:J53)*$K$2)-$K$2</f>
        <v>138.82871054211068</v>
      </c>
      <c r="S53" s="8" cm="1">
        <f t="array" ref="S53">(PRODUCT(1 + K$20:K53)*$K$2)-$K$2</f>
        <v>1076.1369645036793</v>
      </c>
      <c r="T53" s="8" cm="1">
        <f t="array" ref="T53">(PRODUCT(1 + L$20:L53)*$K$2)-$K$2</f>
        <v>202.57245189216496</v>
      </c>
      <c r="U53" s="8" cm="1">
        <f t="array" ref="U53">(PRODUCT(1 + M$20:M53)*$K$2)-$K$2</f>
        <v>332.37413600598643</v>
      </c>
      <c r="V53" s="8" cm="1">
        <f t="array" ref="V53">(PRODUCT(1 + N$20:N53)*$K$2)-$K$2</f>
        <v>43.722876924296088</v>
      </c>
    </row>
    <row r="54" spans="1:22" x14ac:dyDescent="0.2">
      <c r="A54" s="1">
        <v>44105</v>
      </c>
      <c r="B54" s="6">
        <v>130.69705200000001</v>
      </c>
      <c r="C54" s="6">
        <v>75.385727000000003</v>
      </c>
      <c r="D54" s="6">
        <v>86.387755999999996</v>
      </c>
      <c r="E54" s="6">
        <v>52.815249999999999</v>
      </c>
      <c r="F54" s="6">
        <v>317.20416299999999</v>
      </c>
      <c r="G54" s="6">
        <v>90.566727</v>
      </c>
      <c r="I54" s="7">
        <f t="shared" si="16"/>
        <v>-1.3598184043862344E-2</v>
      </c>
      <c r="J54" s="7">
        <f t="shared" si="17"/>
        <v>2.2553610706627952E-2</v>
      </c>
      <c r="K54" s="7">
        <f t="shared" si="18"/>
        <v>-5.6770937002694172E-2</v>
      </c>
      <c r="L54" s="7">
        <f t="shared" si="19"/>
        <v>-7.8631563524045003E-2</v>
      </c>
      <c r="M54" s="7">
        <f t="shared" si="20"/>
        <v>-2.1030407402601741E-2</v>
      </c>
      <c r="N54" s="7">
        <f t="shared" si="21"/>
        <v>1.0919109047085523E-4</v>
      </c>
      <c r="O54" s="109"/>
      <c r="Q54" s="8" cm="1">
        <f t="array" ref="Q54">(PRODUCT(1 + I$20:I54)*$K$2)-$K$2</f>
        <v>652.42907812290673</v>
      </c>
      <c r="R54" s="8" cm="1">
        <f t="array" ref="R54">(PRODUCT(1 + J$20:J54)*$K$2)-$K$2</f>
        <v>164.51340994120847</v>
      </c>
      <c r="S54" s="8" cm="1">
        <f t="array" ref="S54">(PRODUCT(1 + K$20:K54)*$K$2)-$K$2</f>
        <v>958.27272368287618</v>
      </c>
      <c r="T54" s="8" cm="1">
        <f t="array" ref="T54">(PRODUCT(1 + L$20:L54)*$K$2)-$K$2</f>
        <v>108.01229974893977</v>
      </c>
      <c r="U54" s="8" cm="1">
        <f t="array" ref="U54">(PRODUCT(1 + M$20:M54)*$K$2)-$K$2</f>
        <v>304.35376511309096</v>
      </c>
      <c r="V54" s="8" cm="1">
        <f t="array" ref="V54">(PRODUCT(1 + N$20:N54)*$K$2)-$K$2</f>
        <v>43.836842163377014</v>
      </c>
    </row>
    <row r="55" spans="1:22" x14ac:dyDescent="0.2">
      <c r="A55" s="1">
        <v>44136</v>
      </c>
      <c r="B55" s="6">
        <v>133.11944600000001</v>
      </c>
      <c r="C55" s="6">
        <v>82.287345999999999</v>
      </c>
      <c r="D55" s="6">
        <v>85.781807000000001</v>
      </c>
      <c r="E55" s="6">
        <v>57.221961999999998</v>
      </c>
      <c r="F55" s="6">
        <v>351.708618</v>
      </c>
      <c r="G55" s="6">
        <v>90.556838999999997</v>
      </c>
      <c r="I55" s="7">
        <f t="shared" si="16"/>
        <v>1.8534419582776792E-2</v>
      </c>
      <c r="J55" s="7">
        <f t="shared" si="17"/>
        <v>9.1550738775789703E-2</v>
      </c>
      <c r="K55" s="7">
        <f t="shared" si="18"/>
        <v>-7.0142926273023629E-3</v>
      </c>
      <c r="L55" s="7">
        <f t="shared" si="19"/>
        <v>8.3436355976730187E-2</v>
      </c>
      <c r="M55" s="7">
        <f t="shared" si="20"/>
        <v>0.10877680378993011</v>
      </c>
      <c r="N55" s="7">
        <f t="shared" si="21"/>
        <v>-1.0917916907832688E-4</v>
      </c>
      <c r="O55" s="109"/>
      <c r="Q55" s="8" cm="1">
        <f t="array" ref="Q55">(PRODUCT(1 + I$20:I55)*$K$2)-$K$2</f>
        <v>683.05589198761777</v>
      </c>
      <c r="R55" s="8" cm="1">
        <f t="array" ref="R55">(PRODUCT(1 + J$20:J55)*$K$2)-$K$2</f>
        <v>271.12547293564012</v>
      </c>
      <c r="S55" s="8" cm="1">
        <f t="array" ref="S55">(PRODUCT(1 + K$20:K55)*$K$2)-$K$2</f>
        <v>944.53682575490006</v>
      </c>
      <c r="T55" s="8" cm="1">
        <f t="array" ref="T55">(PRODUCT(1 + L$20:L55)*$K$2)-$K$2</f>
        <v>200.46080841738763</v>
      </c>
      <c r="U55" s="8" cm="1">
        <f t="array" ref="U55">(PRODUCT(1 + M$20:M55)*$K$2)-$K$2</f>
        <v>446.23719869345427</v>
      </c>
      <c r="V55" s="8" cm="1">
        <f t="array" ref="V55">(PRODUCT(1 + N$20:N55)*$K$2)-$K$2</f>
        <v>43.722876924296315</v>
      </c>
    </row>
    <row r="56" spans="1:22" x14ac:dyDescent="0.2">
      <c r="A56" s="1">
        <v>44166</v>
      </c>
      <c r="B56" s="6">
        <v>133.378265</v>
      </c>
      <c r="C56" s="6">
        <v>82.162436999999997</v>
      </c>
      <c r="D56" s="6">
        <v>85.488533000000004</v>
      </c>
      <c r="E56" s="6">
        <v>56.565959999999997</v>
      </c>
      <c r="F56" s="6">
        <v>363.19064300000002</v>
      </c>
      <c r="G56" s="6">
        <v>90.556838999999997</v>
      </c>
      <c r="I56" s="7">
        <f t="shared" si="16"/>
        <v>1.9442613966406406E-3</v>
      </c>
      <c r="J56" s="7">
        <f t="shared" si="17"/>
        <v>-1.5179612184843389E-3</v>
      </c>
      <c r="K56" s="7">
        <f t="shared" si="18"/>
        <v>-3.4188368169954346E-3</v>
      </c>
      <c r="L56" s="7">
        <f t="shared" si="19"/>
        <v>-1.1464164755483234E-2</v>
      </c>
      <c r="M56" s="7">
        <f t="shared" si="20"/>
        <v>3.2646413571816489E-2</v>
      </c>
      <c r="N56" s="7">
        <f t="shared" si="21"/>
        <v>0</v>
      </c>
      <c r="O56" s="109"/>
      <c r="Q56" s="8" cm="1">
        <f t="array" ref="Q56">(PRODUCT(1 + I$20:I56)*$K$2)-$K$2</f>
        <v>686.32819258679797</v>
      </c>
      <c r="R56" s="8" cm="1">
        <f t="array" ref="R56">(PRODUCT(1 + J$20:J56)*$K$2)-$K$2</f>
        <v>269.19595376389611</v>
      </c>
      <c r="S56" s="8" cm="1">
        <f t="array" ref="S56">(PRODUCT(1 + K$20:K56)*$K$2)-$K$2</f>
        <v>937.88877166300585</v>
      </c>
      <c r="T56" s="8" cm="1">
        <f t="array" ref="T56">(PRODUCT(1 + L$20:L56)*$K$2)-$K$2</f>
        <v>186.69852792719007</v>
      </c>
      <c r="U56" s="8" cm="1">
        <f t="array" ref="U56">(PRODUCT(1 + M$20:M56)*$K$2)-$K$2</f>
        <v>493.45165640494633</v>
      </c>
      <c r="V56" s="8" cm="1">
        <f t="array" ref="V56">(PRODUCT(1 + N$20:N56)*$K$2)-$K$2</f>
        <v>43.722876924296315</v>
      </c>
    </row>
    <row r="57" spans="1:22" x14ac:dyDescent="0.2">
      <c r="A57" s="1">
        <v>44197</v>
      </c>
      <c r="B57" s="6">
        <v>122.90089399999999</v>
      </c>
      <c r="C57" s="6">
        <v>74.946442000000005</v>
      </c>
      <c r="D57" s="6">
        <v>82.744422999999998</v>
      </c>
      <c r="E57" s="6">
        <v>54.672932000000003</v>
      </c>
      <c r="F57" s="6">
        <v>361.02200299999998</v>
      </c>
      <c r="G57" s="6">
        <v>90.559792000000002</v>
      </c>
      <c r="I57" s="7">
        <f t="shared" si="16"/>
        <v>-7.8553810847667008E-2</v>
      </c>
      <c r="J57" s="7">
        <f t="shared" si="17"/>
        <v>-8.7825961150592366E-2</v>
      </c>
      <c r="K57" s="7">
        <f t="shared" si="18"/>
        <v>-3.2099158842742177E-2</v>
      </c>
      <c r="L57" s="7">
        <f t="shared" si="19"/>
        <v>-3.3465851193898132E-2</v>
      </c>
      <c r="M57" s="7">
        <f t="shared" si="20"/>
        <v>-5.9710789410398956E-3</v>
      </c>
      <c r="N57" s="7">
        <f t="shared" si="21"/>
        <v>3.2609353778405299E-5</v>
      </c>
      <c r="O57" s="109"/>
      <c r="Q57" s="8" cm="1">
        <f t="array" ref="Q57">(PRODUCT(1 + I$20:I57)*$K$2)-$K$2</f>
        <v>553.86068671924636</v>
      </c>
      <c r="R57" s="8" cm="1">
        <f t="array" ref="R57">(PRODUCT(1 + J$20:J57)*$K$2)-$K$2</f>
        <v>157.72759923613921</v>
      </c>
      <c r="S57" s="8" cm="1">
        <f t="array" ref="S57">(PRODUCT(1 + K$20:K57)*$K$2)-$K$2</f>
        <v>875.68417216182843</v>
      </c>
      <c r="T57" s="8" cm="1">
        <f t="array" ref="T57">(PRODUCT(1 + L$20:L57)*$K$2)-$K$2</f>
        <v>146.9846515795607</v>
      </c>
      <c r="U57" s="8" cm="1">
        <f t="array" ref="U57">(PRODUCT(1 + M$20:M57)*$K$2)-$K$2</f>
        <v>484.5341386699256</v>
      </c>
      <c r="V57" s="8" cm="1">
        <f t="array" ref="V57">(PRODUCT(1 + N$20:N57)*$K$2)-$K$2</f>
        <v>43.756912052836469</v>
      </c>
    </row>
    <row r="58" spans="1:22" x14ac:dyDescent="0.2">
      <c r="A58" s="1">
        <v>44228</v>
      </c>
      <c r="B58" s="6">
        <v>119.128929</v>
      </c>
      <c r="C58" s="6">
        <v>72.659308999999993</v>
      </c>
      <c r="D58" s="6">
        <v>77.177825999999996</v>
      </c>
      <c r="E58" s="6">
        <v>48.787674000000003</v>
      </c>
      <c r="F58" s="6">
        <v>371.06036399999999</v>
      </c>
      <c r="G58" s="6">
        <v>90.549903999999998</v>
      </c>
      <c r="I58" s="7">
        <f t="shared" si="16"/>
        <v>-3.0691111164740548E-2</v>
      </c>
      <c r="J58" s="7">
        <f t="shared" si="17"/>
        <v>-3.0516898987679911E-2</v>
      </c>
      <c r="K58" s="7">
        <f t="shared" si="18"/>
        <v>-6.727458840337798E-2</v>
      </c>
      <c r="L58" s="7">
        <f t="shared" si="19"/>
        <v>-0.10764482138986071</v>
      </c>
      <c r="M58" s="7">
        <f t="shared" si="20"/>
        <v>2.7805399439878486E-2</v>
      </c>
      <c r="N58" s="7">
        <f t="shared" si="21"/>
        <v>-1.0918752993606336E-4</v>
      </c>
      <c r="O58" s="109"/>
      <c r="Q58" s="8" cm="1">
        <f t="array" ref="Q58">(PRODUCT(1 + I$20:I58)*$K$2)-$K$2</f>
        <v>506.17097564862593</v>
      </c>
      <c r="R58" s="8" cm="1">
        <f t="array" ref="R58">(PRODUCT(1 + J$20:J58)*$K$2)-$K$2</f>
        <v>122.39734303500063</v>
      </c>
      <c r="S58" s="8" cm="1">
        <f t="array" ref="S58">(PRODUCT(1 + K$20:K58)*$K$2)-$K$2</f>
        <v>749.49829150491064</v>
      </c>
      <c r="T58" s="8" cm="1">
        <f t="array" ref="T58">(PRODUCT(1 + L$20:L58)*$K$2)-$K$2</f>
        <v>23.517693623367222</v>
      </c>
      <c r="U58" s="8" cm="1">
        <f t="array" ref="U58">(PRODUCT(1 + M$20:M58)*$K$2)-$K$2</f>
        <v>525.81220337777904</v>
      </c>
      <c r="V58" s="8" cm="1">
        <f t="array" ref="V58">(PRODUCT(1 + N$20:N58)*$K$2)-$K$2</f>
        <v>43.642946813755771</v>
      </c>
    </row>
    <row r="59" spans="1:22" x14ac:dyDescent="0.2">
      <c r="A59" s="1">
        <v>44256</v>
      </c>
      <c r="B59" s="6">
        <v>130.60495</v>
      </c>
      <c r="C59" s="6">
        <v>76.166663999999997</v>
      </c>
      <c r="D59" s="6">
        <v>85.868767000000005</v>
      </c>
      <c r="E59" s="6">
        <v>52.821075</v>
      </c>
      <c r="F59" s="6">
        <v>386.63989299999997</v>
      </c>
      <c r="G59" s="6">
        <v>90.540008999999998</v>
      </c>
      <c r="I59" s="7">
        <f t="shared" si="16"/>
        <v>9.6332780763940237E-2</v>
      </c>
      <c r="J59" s="7">
        <f t="shared" si="17"/>
        <v>4.8271240784852558E-2</v>
      </c>
      <c r="K59" s="7">
        <f t="shared" si="18"/>
        <v>0.11260930050037959</v>
      </c>
      <c r="L59" s="7">
        <f t="shared" si="19"/>
        <v>8.2672541429214222E-2</v>
      </c>
      <c r="M59" s="7">
        <f t="shared" si="20"/>
        <v>4.1986508157470522E-2</v>
      </c>
      <c r="N59" s="7">
        <f t="shared" si="21"/>
        <v>-1.0927675859270054E-4</v>
      </c>
      <c r="O59" s="109"/>
      <c r="Q59" s="8" cm="1">
        <f t="array" ref="Q59">(PRODUCT(1 + I$20:I59)*$K$2)-$K$2</f>
        <v>651.26461403879489</v>
      </c>
      <c r="R59" s="8" cm="1">
        <f t="array" ref="R59">(PRODUCT(1 + J$20:J59)*$K$2)-$K$2</f>
        <v>176.57685543692173</v>
      </c>
      <c r="S59" s="8" cm="1">
        <f t="array" ref="S59">(PRODUCT(1 + K$20:K59)*$K$2)-$K$2</f>
        <v>946.50807033788783</v>
      </c>
      <c r="T59" s="8" cm="1">
        <f t="array" ref="T59">(PRODUCT(1 + L$20:L59)*$K$2)-$K$2</f>
        <v>108.1345025529788</v>
      </c>
      <c r="U59" s="8" cm="1">
        <f t="array" ref="U59">(PRODUCT(1 + M$20:M59)*$K$2)-$K$2</f>
        <v>589.87572990166836</v>
      </c>
      <c r="V59" s="8" cm="1">
        <f t="array" ref="V59">(PRODUCT(1 + N$20:N59)*$K$2)-$K$2</f>
        <v>43.528900895399829</v>
      </c>
    </row>
    <row r="60" spans="1:22" x14ac:dyDescent="0.2">
      <c r="A60" s="1">
        <v>44287</v>
      </c>
      <c r="B60" s="6">
        <v>128.66658000000001</v>
      </c>
      <c r="C60" s="6">
        <v>77.973488000000003</v>
      </c>
      <c r="D60" s="6">
        <v>84.286063999999996</v>
      </c>
      <c r="E60" s="6">
        <v>55.555312999999998</v>
      </c>
      <c r="F60" s="6">
        <v>408.430542</v>
      </c>
      <c r="G60" s="6">
        <v>90.540008999999998</v>
      </c>
      <c r="I60" s="7">
        <f t="shared" si="16"/>
        <v>-1.48414742320256E-2</v>
      </c>
      <c r="J60" s="7">
        <f t="shared" si="17"/>
        <v>2.3721978948690808E-2</v>
      </c>
      <c r="K60" s="7">
        <f t="shared" si="18"/>
        <v>-1.8431649309696145E-2</v>
      </c>
      <c r="L60" s="7">
        <f t="shared" si="19"/>
        <v>5.1764149063607615E-2</v>
      </c>
      <c r="M60" s="7">
        <f t="shared" si="20"/>
        <v>5.63590291496383E-2</v>
      </c>
      <c r="N60" s="7">
        <f t="shared" si="21"/>
        <v>0</v>
      </c>
      <c r="O60" s="109"/>
      <c r="Q60" s="8" cm="1">
        <f t="array" ref="Q60">(PRODUCT(1 + I$20:I60)*$K$2)-$K$2</f>
        <v>626.75741281928254</v>
      </c>
      <c r="R60" s="8" cm="1">
        <f t="array" ref="R60">(PRODUCT(1 + J$20:J60)*$K$2)-$K$2</f>
        <v>204.48758683311326</v>
      </c>
      <c r="S60" s="8" cm="1">
        <f t="array" ref="S60">(PRODUCT(1 + K$20:K60)*$K$2)-$K$2</f>
        <v>910.63071620692676</v>
      </c>
      <c r="T60" s="8" cm="1">
        <f t="array" ref="T60">(PRODUCT(1 + L$20:L60)*$K$2)-$K$2</f>
        <v>165.4961421256578</v>
      </c>
      <c r="U60" s="8" cm="1">
        <f t="array" ref="U60">(PRODUCT(1 + M$20:M60)*$K$2)-$K$2</f>
        <v>679.47958250749912</v>
      </c>
      <c r="V60" s="8" cm="1">
        <f t="array" ref="V60">(PRODUCT(1 + N$20:N60)*$K$2)-$K$2</f>
        <v>43.528900895399829</v>
      </c>
    </row>
    <row r="61" spans="1:22" x14ac:dyDescent="0.2">
      <c r="A61" s="1">
        <v>44317</v>
      </c>
      <c r="B61" s="6">
        <v>130.877655</v>
      </c>
      <c r="C61" s="6">
        <v>81.405212000000006</v>
      </c>
      <c r="D61" s="6">
        <v>84.276229999999998</v>
      </c>
      <c r="E61" s="6">
        <v>56.737952999999997</v>
      </c>
      <c r="F61" s="6">
        <v>411.11230499999999</v>
      </c>
      <c r="G61" s="6">
        <v>90.530113</v>
      </c>
      <c r="I61" s="7">
        <f t="shared" si="16"/>
        <v>1.7184532300462123E-2</v>
      </c>
      <c r="J61" s="7">
        <f t="shared" si="17"/>
        <v>4.4011420907578258E-2</v>
      </c>
      <c r="K61" s="7">
        <f t="shared" si="18"/>
        <v>-1.1667409217255537E-4</v>
      </c>
      <c r="L61" s="7">
        <f t="shared" si="19"/>
        <v>2.128761294171809E-2</v>
      </c>
      <c r="M61" s="7">
        <f t="shared" si="20"/>
        <v>6.5660197370841803E-3</v>
      </c>
      <c r="N61" s="7">
        <f t="shared" si="21"/>
        <v>-1.0929974614866324E-4</v>
      </c>
      <c r="O61" s="109"/>
      <c r="Q61" s="8" cm="1">
        <f t="array" ref="Q61">(PRODUCT(1 + I$20:I61)*$K$2)-$K$2</f>
        <v>654.71247812489173</v>
      </c>
      <c r="R61" s="8" cm="1">
        <f t="array" ref="R61">(PRODUCT(1 + J$20:J61)*$K$2)-$K$2</f>
        <v>257.49879699517874</v>
      </c>
      <c r="S61" s="8" cm="1">
        <f t="array" ref="S61">(PRODUCT(1 + K$20:K61)*$K$2)-$K$2</f>
        <v>910.40779510263633</v>
      </c>
      <c r="T61" s="8" cm="1">
        <f t="array" ref="T61">(PRODUCT(1 + L$20:L61)*$K$2)-$K$2</f>
        <v>190.30677288429433</v>
      </c>
      <c r="U61" s="8" cm="1">
        <f t="array" ref="U61">(PRODUCT(1 + M$20:M61)*$K$2)-$K$2</f>
        <v>690.50707859427325</v>
      </c>
      <c r="V61" s="8" cm="1">
        <f t="array" ref="V61">(PRODUCT(1 + N$20:N61)*$K$2)-$K$2</f>
        <v>43.414843451433171</v>
      </c>
    </row>
    <row r="62" spans="1:22" x14ac:dyDescent="0.2">
      <c r="A62" s="1">
        <v>44348</v>
      </c>
      <c r="B62" s="6">
        <v>130.95529199999999</v>
      </c>
      <c r="C62" s="6">
        <v>79.044098000000005</v>
      </c>
      <c r="D62" s="6">
        <v>84.018096999999997</v>
      </c>
      <c r="E62" s="6">
        <v>55.822806999999997</v>
      </c>
      <c r="F62" s="6">
        <v>418.96182299999998</v>
      </c>
      <c r="G62" s="6">
        <v>90.510329999999996</v>
      </c>
      <c r="I62" s="7">
        <f t="shared" si="16"/>
        <v>5.9320286568384441E-4</v>
      </c>
      <c r="J62" s="7">
        <f t="shared" si="17"/>
        <v>-2.9004457355875448E-2</v>
      </c>
      <c r="K62" s="7">
        <f t="shared" si="18"/>
        <v>-3.0629395738276479E-3</v>
      </c>
      <c r="L62" s="7">
        <f t="shared" si="19"/>
        <v>-1.6129344673397012E-2</v>
      </c>
      <c r="M62" s="7">
        <f t="shared" si="20"/>
        <v>1.9093366713993126E-2</v>
      </c>
      <c r="N62" s="7">
        <f t="shared" si="21"/>
        <v>-2.1852397334358659E-4</v>
      </c>
      <c r="O62" s="109"/>
      <c r="Q62" s="8" cm="1">
        <f t="array" ref="Q62">(PRODUCT(1 + I$20:I62)*$K$2)-$K$2</f>
        <v>655.69405830879828</v>
      </c>
      <c r="R62" s="8" cm="1">
        <f t="array" ref="R62">(PRODUCT(1 + J$20:J62)*$K$2)-$K$2</f>
        <v>221.02572676266732</v>
      </c>
      <c r="S62" s="8" cm="1">
        <f t="array" ref="S62">(PRODUCT(1 + K$20:K62)*$K$2)-$K$2</f>
        <v>904.55633146486775</v>
      </c>
      <c r="T62" s="8" cm="1">
        <f t="array" ref="T62">(PRODUCT(1 + L$20:L62)*$K$2)-$K$2</f>
        <v>171.10790467736479</v>
      </c>
      <c r="U62" s="8" cm="1">
        <f t="array" ref="U62">(PRODUCT(1 + M$20:M62)*$K$2)-$K$2</f>
        <v>722.784550178475</v>
      </c>
      <c r="V62" s="8" cm="1">
        <f t="array" ref="V62">(PRODUCT(1 + N$20:N62)*$K$2)-$K$2</f>
        <v>43.186832293996531</v>
      </c>
    </row>
    <row r="63" spans="1:22" x14ac:dyDescent="0.2">
      <c r="A63" s="1">
        <v>44378</v>
      </c>
      <c r="B63" s="6">
        <v>138.04025300000001</v>
      </c>
      <c r="C63" s="6">
        <v>77.246544</v>
      </c>
      <c r="D63" s="6">
        <v>85.358909999999995</v>
      </c>
      <c r="E63" s="6">
        <v>54.897198000000003</v>
      </c>
      <c r="F63" s="6">
        <v>430.59387199999998</v>
      </c>
      <c r="G63" s="6">
        <v>90.500420000000005</v>
      </c>
      <c r="I63" s="7">
        <f t="shared" si="16"/>
        <v>5.4102135864811191E-2</v>
      </c>
      <c r="J63" s="7">
        <f t="shared" si="17"/>
        <v>-2.2741153931568742E-2</v>
      </c>
      <c r="K63" s="7">
        <f t="shared" si="18"/>
        <v>1.5958621390817711E-2</v>
      </c>
      <c r="L63" s="7">
        <f t="shared" si="19"/>
        <v>-1.6581197717269833E-2</v>
      </c>
      <c r="M63" s="7">
        <f t="shared" si="20"/>
        <v>2.7763983163687913E-2</v>
      </c>
      <c r="N63" s="7">
        <f t="shared" si="21"/>
        <v>-1.0949026481276512E-4</v>
      </c>
      <c r="O63" s="109"/>
      <c r="Q63" s="8" cm="1">
        <f t="array" ref="Q63">(PRODUCT(1 + I$20:I63)*$K$2)-$K$2</f>
        <v>745.27064320198156</v>
      </c>
      <c r="R63" s="8" cm="1">
        <f t="array" ref="R63">(PRODUCT(1 + J$20:J63)*$K$2)-$K$2</f>
        <v>193.258192755952</v>
      </c>
      <c r="S63" s="8" cm="1">
        <f t="array" ref="S63">(PRODUCT(1 + K$20:K63)*$K$2)-$K$2</f>
        <v>934.95042487620003</v>
      </c>
      <c r="T63" s="8" cm="1">
        <f t="array" ref="T63">(PRODUCT(1 + L$20:L63)*$K$2)-$K$2</f>
        <v>151.68953296165159</v>
      </c>
      <c r="U63" s="8" cm="1">
        <f t="array" ref="U63">(PRODUCT(1 + M$20:M63)*$K$2)-$K$2</f>
        <v>770.61591142429211</v>
      </c>
      <c r="V63" s="8" cm="1">
        <f t="array" ref="V63">(PRODUCT(1 + N$20:N63)*$K$2)-$K$2</f>
        <v>43.072613491479387</v>
      </c>
    </row>
    <row r="64" spans="1:22" x14ac:dyDescent="0.2">
      <c r="A64" s="1">
        <v>44409</v>
      </c>
      <c r="B64" s="6">
        <v>139.06471300000001</v>
      </c>
      <c r="C64" s="6">
        <v>76.148560000000003</v>
      </c>
      <c r="D64" s="6">
        <v>82.480095000000006</v>
      </c>
      <c r="E64" s="6">
        <v>53.131866000000002</v>
      </c>
      <c r="F64" s="6">
        <v>443.40832499999999</v>
      </c>
      <c r="G64" s="6">
        <v>90.490539999999996</v>
      </c>
      <c r="I64" s="7">
        <f t="shared" si="16"/>
        <v>7.4214584350262292E-3</v>
      </c>
      <c r="J64" s="7">
        <f t="shared" si="17"/>
        <v>-1.4214021018208876E-2</v>
      </c>
      <c r="K64" s="7">
        <f t="shared" si="18"/>
        <v>-3.3726004701793745E-2</v>
      </c>
      <c r="L64" s="7">
        <f t="shared" si="19"/>
        <v>-3.2157051075721581E-2</v>
      </c>
      <c r="M64" s="7">
        <f t="shared" si="20"/>
        <v>2.9759952087752922E-2</v>
      </c>
      <c r="N64" s="7">
        <f t="shared" si="21"/>
        <v>-1.0917076406948894E-4</v>
      </c>
      <c r="O64" s="109"/>
      <c r="Q64" s="8" cm="1">
        <f t="array" ref="Q64">(PRODUCT(1 + I$20:I64)*$K$2)-$K$2</f>
        <v>758.22309673837663</v>
      </c>
      <c r="R64" s="8" cm="1">
        <f t="array" ref="R64">(PRODUCT(1 + J$20:J64)*$K$2)-$K$2</f>
        <v>176.29719572396903</v>
      </c>
      <c r="S64" s="8" cm="1">
        <f t="array" ref="S64">(PRODUCT(1 + K$20:K64)*$K$2)-$K$2</f>
        <v>869.69227774908745</v>
      </c>
      <c r="T64" s="8" cm="1">
        <f t="array" ref="T64">(PRODUCT(1 + L$20:L64)*$K$2)-$K$2</f>
        <v>114.65459382683002</v>
      </c>
      <c r="U64" s="8" cm="1">
        <f t="array" ref="U64">(PRODUCT(1 + M$20:M64)*$K$2)-$K$2</f>
        <v>823.309356114092</v>
      </c>
      <c r="V64" s="8" cm="1">
        <f t="array" ref="V64">(PRODUCT(1 + N$20:N64)*$K$2)-$K$2</f>
        <v>42.958740457284648</v>
      </c>
    </row>
    <row r="65" spans="1:22" x14ac:dyDescent="0.2">
      <c r="A65" s="1">
        <v>44440</v>
      </c>
      <c r="B65" s="6">
        <v>136.535202</v>
      </c>
      <c r="C65" s="6">
        <v>73.833327999999995</v>
      </c>
      <c r="D65" s="6">
        <v>81.650458999999998</v>
      </c>
      <c r="E65" s="6">
        <v>52.196159000000002</v>
      </c>
      <c r="F65" s="6">
        <v>421.39306599999998</v>
      </c>
      <c r="G65" s="6">
        <v>90.500420000000005</v>
      </c>
      <c r="I65" s="7">
        <f t="shared" si="16"/>
        <v>-1.8189452560837725E-2</v>
      </c>
      <c r="J65" s="7">
        <f t="shared" si="17"/>
        <v>-3.0404146841384903E-2</v>
      </c>
      <c r="K65" s="7">
        <f t="shared" si="18"/>
        <v>-1.0058620810269529E-2</v>
      </c>
      <c r="L65" s="7">
        <f t="shared" si="19"/>
        <v>-1.7611032144062108E-2</v>
      </c>
      <c r="M65" s="7">
        <f t="shared" si="20"/>
        <v>-4.9650080430943683E-2</v>
      </c>
      <c r="N65" s="7">
        <f t="shared" si="21"/>
        <v>1.091826836264836E-4</v>
      </c>
      <c r="O65" s="109"/>
      <c r="Q65" s="8" cm="1">
        <f t="array" ref="Q65">(PRODUCT(1 + I$20:I65)*$K$2)-$K$2</f>
        <v>726.24198112888485</v>
      </c>
      <c r="R65" s="8" cm="1">
        <f t="array" ref="R65">(PRODUCT(1 + J$20:J65)*$K$2)-$K$2</f>
        <v>140.53288305606816</v>
      </c>
      <c r="S65" s="8" cm="1">
        <f t="array" ref="S65">(PRODUCT(1 + K$20:K65)*$K$2)-$K$2</f>
        <v>850.88575209532019</v>
      </c>
      <c r="T65" s="8" cm="1">
        <f t="array" ref="T65">(PRODUCT(1 + L$20:L65)*$K$2)-$K$2</f>
        <v>95.024375945419251</v>
      </c>
      <c r="U65" s="8" cm="1">
        <f t="array" ref="U65">(PRODUCT(1 + M$20:M65)*$K$2)-$K$2</f>
        <v>732.78189993253523</v>
      </c>
      <c r="V65" s="8" cm="1">
        <f t="array" ref="V65">(PRODUCT(1 + N$20:N65)*$K$2)-$K$2</f>
        <v>43.072613491479615</v>
      </c>
    </row>
    <row r="66" spans="1:22" x14ac:dyDescent="0.2">
      <c r="A66" s="1">
        <v>44470</v>
      </c>
      <c r="B66" s="6">
        <v>139.65068099999999</v>
      </c>
      <c r="C66" s="6">
        <v>74.429230000000004</v>
      </c>
      <c r="D66" s="6">
        <v>86.387114999999994</v>
      </c>
      <c r="E66" s="6">
        <v>51.580044000000001</v>
      </c>
      <c r="F66" s="6">
        <v>452.40420499999999</v>
      </c>
      <c r="G66" s="6">
        <v>90.490539999999996</v>
      </c>
      <c r="I66" s="7">
        <f t="shared" si="16"/>
        <v>2.2818137406058793E-2</v>
      </c>
      <c r="J66" s="7">
        <f t="shared" si="17"/>
        <v>8.0709080322101893E-3</v>
      </c>
      <c r="K66" s="7">
        <f t="shared" si="18"/>
        <v>5.8011382397740063E-2</v>
      </c>
      <c r="L66" s="7">
        <f t="shared" si="19"/>
        <v>-1.1803837903091693E-2</v>
      </c>
      <c r="M66" s="7">
        <f t="shared" si="20"/>
        <v>7.3591953693893999E-2</v>
      </c>
      <c r="N66" s="7">
        <f t="shared" si="21"/>
        <v>-1.0917076406948894E-4</v>
      </c>
      <c r="O66" s="109"/>
      <c r="Q66" s="8" cm="1">
        <f t="array" ref="Q66">(PRODUCT(1 + I$20:I66)*$K$2)-$K$2</f>
        <v>765.63160785039076</v>
      </c>
      <c r="R66" s="8" cm="1">
        <f t="array" ref="R66">(PRODUCT(1 + J$20:J66)*$K$2)-$K$2</f>
        <v>149.7380190629251</v>
      </c>
      <c r="S66" s="8" cm="1">
        <f t="array" ref="S66">(PRODUCT(1 + K$20:K66)*$K$2)-$K$2</f>
        <v>958.25819323465089</v>
      </c>
      <c r="T66" s="8" cm="1">
        <f t="array" ref="T66">(PRODUCT(1 + L$20:L66)*$K$2)-$K$2</f>
        <v>82.09888571182546</v>
      </c>
      <c r="U66" s="8" cm="1">
        <f t="array" ref="U66">(PRODUCT(1 + M$20:M66)*$K$2)-$K$2</f>
        <v>860.30070527398811</v>
      </c>
      <c r="V66" s="8" cm="1">
        <f t="array" ref="V66">(PRODUCT(1 + N$20:N66)*$K$2)-$K$2</f>
        <v>42.958740457284875</v>
      </c>
    </row>
    <row r="67" spans="1:22" x14ac:dyDescent="0.2">
      <c r="A67" s="1">
        <v>44501</v>
      </c>
      <c r="B67" s="6">
        <v>142.07891799999999</v>
      </c>
      <c r="C67" s="6">
        <v>73.729950000000002</v>
      </c>
      <c r="D67" s="6">
        <v>88.384620999999996</v>
      </c>
      <c r="E67" s="6">
        <v>48.951949999999997</v>
      </c>
      <c r="F67" s="6">
        <v>448.769226</v>
      </c>
      <c r="G67" s="6">
        <v>90.470741000000004</v>
      </c>
      <c r="I67" s="7">
        <f t="shared" si="16"/>
        <v>1.7387935258260545E-2</v>
      </c>
      <c r="J67" s="7">
        <f t="shared" si="17"/>
        <v>-9.3952335661675081E-3</v>
      </c>
      <c r="K67" s="7">
        <f t="shared" si="18"/>
        <v>2.3122730745204323E-2</v>
      </c>
      <c r="L67" s="7">
        <f t="shared" si="19"/>
        <v>-5.0951759560344777E-2</v>
      </c>
      <c r="M67" s="7">
        <f t="shared" si="20"/>
        <v>-8.0348037437008059E-3</v>
      </c>
      <c r="N67" s="7">
        <f t="shared" si="21"/>
        <v>-2.1879635153013681E-4</v>
      </c>
      <c r="O67" s="109"/>
      <c r="Q67" s="8" cm="1">
        <f t="array" ref="Q67">(PRODUCT(1 + I$20:I67)*$K$2)-$K$2</f>
        <v>796.33229593763167</v>
      </c>
      <c r="R67" s="8" cm="1">
        <f t="array" ref="R67">(PRODUCT(1 + J$20:J67)*$K$2)-$K$2</f>
        <v>138.93596183392606</v>
      </c>
      <c r="S67" s="8" cm="1">
        <f t="array" ref="S67">(PRODUCT(1 + K$20:K67)*$K$2)-$K$2</f>
        <v>1003.5384701664057</v>
      </c>
      <c r="T67" s="8" cm="1">
        <f t="array" ref="T67">(PRODUCT(1 + L$20:L67)*$K$2)-$K$2</f>
        <v>26.96404346651957</v>
      </c>
      <c r="U67" s="8" cm="1">
        <f t="array" ref="U67">(PRODUCT(1 + M$20:M67)*$K$2)-$K$2</f>
        <v>845.3535542028435</v>
      </c>
      <c r="V67" s="8" cm="1">
        <f t="array" ref="V67">(PRODUCT(1 + N$20:N67)*$K$2)-$K$2</f>
        <v>42.730544890076317</v>
      </c>
    </row>
    <row r="68" spans="1:22" x14ac:dyDescent="0.2">
      <c r="A68" s="1">
        <v>44531</v>
      </c>
      <c r="B68" s="6">
        <v>160.75024400000001</v>
      </c>
      <c r="C68" s="6">
        <v>83.872489999999999</v>
      </c>
      <c r="D68" s="6">
        <v>101.64331799999999</v>
      </c>
      <c r="E68" s="6">
        <v>52.263660000000002</v>
      </c>
      <c r="F68" s="6">
        <v>467.88000499999998</v>
      </c>
      <c r="G68" s="6">
        <v>90.470741000000004</v>
      </c>
      <c r="I68" s="7">
        <f t="shared" si="16"/>
        <v>0.13141517589541343</v>
      </c>
      <c r="J68" s="7">
        <f t="shared" si="17"/>
        <v>0.13756336468422936</v>
      </c>
      <c r="K68" s="7">
        <f t="shared" si="18"/>
        <v>0.15001135774514435</v>
      </c>
      <c r="L68" s="7">
        <f t="shared" si="19"/>
        <v>6.7652259000918355E-2</v>
      </c>
      <c r="M68" s="7">
        <f t="shared" si="20"/>
        <v>4.2584869667511425E-2</v>
      </c>
      <c r="N68" s="7">
        <f t="shared" si="21"/>
        <v>0</v>
      </c>
      <c r="O68" s="109"/>
      <c r="Q68" s="8" cm="1">
        <f t="array" ref="Q68">(PRODUCT(1 + I$20:I68)*$K$2)-$K$2</f>
        <v>1032.3976205748875</v>
      </c>
      <c r="R68" s="8" cm="1">
        <f t="array" ref="R68">(PRODUCT(1 + J$20:J68)*$K$2)-$K$2</f>
        <v>295.61182490367014</v>
      </c>
      <c r="S68" s="8" cm="1">
        <f t="array" ref="S68">(PRODUCT(1 + K$20:K68)*$K$2)-$K$2</f>
        <v>1304.0919963706974</v>
      </c>
      <c r="T68" s="8" cm="1">
        <f t="array" ref="T68">(PRODUCT(1 + L$20:L68)*$K$2)-$K$2</f>
        <v>96.440480919746733</v>
      </c>
      <c r="U68" s="8" cm="1">
        <f t="array" ref="U68">(PRODUCT(1 + M$20:M68)*$K$2)-$K$2</f>
        <v>923.93769479905086</v>
      </c>
      <c r="V68" s="8" cm="1">
        <f t="array" ref="V68">(PRODUCT(1 + N$20:N68)*$K$2)-$K$2</f>
        <v>42.730544890076317</v>
      </c>
    </row>
    <row r="69" spans="1:22" x14ac:dyDescent="0.2">
      <c r="A69" s="1">
        <v>44562</v>
      </c>
      <c r="B69" s="6">
        <v>157.674362</v>
      </c>
      <c r="C69" s="6">
        <v>81.032180999999994</v>
      </c>
      <c r="D69" s="6">
        <v>101.792061</v>
      </c>
      <c r="E69" s="6">
        <v>49.931762999999997</v>
      </c>
      <c r="F69" s="6">
        <v>444.76049799999998</v>
      </c>
      <c r="G69" s="6">
        <v>90.470741000000004</v>
      </c>
      <c r="I69" s="7">
        <f t="shared" si="16"/>
        <v>-1.9134540162813109E-2</v>
      </c>
      <c r="J69" s="7">
        <f t="shared" si="17"/>
        <v>-3.3864608049671646E-2</v>
      </c>
      <c r="K69" s="7">
        <f t="shared" si="18"/>
        <v>1.4633819805056963E-3</v>
      </c>
      <c r="L69" s="7">
        <f t="shared" si="19"/>
        <v>-4.4617942945442489E-2</v>
      </c>
      <c r="M69" s="7">
        <f t="shared" si="20"/>
        <v>-4.9413325538457238E-2</v>
      </c>
      <c r="N69" s="7">
        <f t="shared" si="21"/>
        <v>0</v>
      </c>
      <c r="O69" s="109"/>
      <c r="Q69" s="8" cm="1">
        <f t="array" ref="Q69">(PRODUCT(1 + I$20:I69)*$K$2)-$K$2</f>
        <v>993.50862667719161</v>
      </c>
      <c r="R69" s="8" cm="1">
        <f t="array" ref="R69">(PRODUCT(1 + J$20:J69)*$K$2)-$K$2</f>
        <v>251.73643826878742</v>
      </c>
      <c r="S69" s="8" cm="1">
        <f t="array" ref="S69">(PRODUCT(1 + K$20:K69)*$K$2)-$K$2</f>
        <v>1307.4637630796142</v>
      </c>
      <c r="T69" s="8" cm="1">
        <f t="array" ref="T69">(PRODUCT(1 + L$20:L69)*$K$2)-$K$2</f>
        <v>47.519562098995948</v>
      </c>
      <c r="U69" s="8" cm="1">
        <f t="array" ref="U69">(PRODUCT(1 + M$20:M69)*$K$2)-$K$2</f>
        <v>828.8695351702363</v>
      </c>
      <c r="V69" s="8" cm="1">
        <f t="array" ref="V69">(PRODUCT(1 + N$20:N69)*$K$2)-$K$2</f>
        <v>42.730544890076317</v>
      </c>
    </row>
    <row r="70" spans="1:22" x14ac:dyDescent="0.2">
      <c r="A70" s="1">
        <v>44593</v>
      </c>
      <c r="B70" s="6">
        <v>154.02041600000001</v>
      </c>
      <c r="C70" s="6">
        <v>76.037575000000004</v>
      </c>
      <c r="D70" s="6">
        <v>97.032173</v>
      </c>
      <c r="E70" s="6">
        <v>48.843539999999997</v>
      </c>
      <c r="F70" s="6">
        <v>431.63250699999998</v>
      </c>
      <c r="G70" s="6">
        <v>90.450965999999994</v>
      </c>
      <c r="I70" s="7">
        <f t="shared" si="16"/>
        <v>-2.3174002124708076E-2</v>
      </c>
      <c r="J70" s="7">
        <f t="shared" si="17"/>
        <v>-6.163731419249336E-2</v>
      </c>
      <c r="K70" s="7">
        <f t="shared" si="18"/>
        <v>-4.6760896215668563E-2</v>
      </c>
      <c r="L70" s="7">
        <f t="shared" si="19"/>
        <v>-2.1794203421177005E-2</v>
      </c>
      <c r="M70" s="7">
        <f t="shared" si="20"/>
        <v>-2.9516989613587511E-2</v>
      </c>
      <c r="N70" s="7">
        <f t="shared" si="21"/>
        <v>-2.1857895471431881E-4</v>
      </c>
      <c r="O70" s="109"/>
      <c r="Q70" s="8" cm="1">
        <f t="array" ref="Q70">(PRODUCT(1 + I$20:I70)*$K$2)-$K$2</f>
        <v>947.31105352695045</v>
      </c>
      <c r="R70" s="8" cm="1">
        <f t="array" ref="R70">(PRODUCT(1 + J$20:J70)*$K$2)-$K$2</f>
        <v>174.58276613702151</v>
      </c>
      <c r="S70" s="8" cm="1">
        <f t="array" ref="S70">(PRODUCT(1 + K$20:K70)*$K$2)-$K$2</f>
        <v>1199.5646895328323</v>
      </c>
      <c r="T70" s="8" cm="1">
        <f t="array" ref="T70">(PRODUCT(1 + L$20:L70)*$K$2)-$K$2</f>
        <v>24.689707674948068</v>
      </c>
      <c r="U70" s="8" cm="1">
        <f t="array" ref="U70">(PRODUCT(1 + M$20:M70)*$K$2)-$K$2</f>
        <v>774.88681209600963</v>
      </c>
      <c r="V70" s="8" cm="1">
        <f t="array" ref="V70">(PRODUCT(1 + N$20:N70)*$K$2)-$K$2</f>
        <v>42.502625937525636</v>
      </c>
    </row>
    <row r="71" spans="1:22" x14ac:dyDescent="0.2">
      <c r="A71" s="1">
        <v>44621</v>
      </c>
      <c r="B71" s="6">
        <v>150.967468</v>
      </c>
      <c r="C71" s="6">
        <v>74.930862000000005</v>
      </c>
      <c r="D71" s="6">
        <v>98.814850000000007</v>
      </c>
      <c r="E71" s="6">
        <v>44.698771999999998</v>
      </c>
      <c r="F71" s="6">
        <v>446.47070300000001</v>
      </c>
      <c r="G71" s="6">
        <v>90.470741000000004</v>
      </c>
      <c r="I71" s="7">
        <f t="shared" si="16"/>
        <v>-1.9821709869943572E-2</v>
      </c>
      <c r="J71" s="7">
        <f t="shared" si="17"/>
        <v>-1.455481714139357E-2</v>
      </c>
      <c r="K71" s="7">
        <f t="shared" si="18"/>
        <v>1.8372019762970853E-2</v>
      </c>
      <c r="L71" s="7">
        <f t="shared" si="19"/>
        <v>-8.4858059018654244E-2</v>
      </c>
      <c r="M71" s="7">
        <f t="shared" si="20"/>
        <v>3.4376919623433366E-2</v>
      </c>
      <c r="N71" s="7">
        <f t="shared" si="21"/>
        <v>2.186267419190401E-4</v>
      </c>
      <c r="O71" s="109"/>
      <c r="Q71" s="8" cm="1">
        <f t="array" ref="Q71">(PRODUCT(1 + I$20:I71)*$K$2)-$K$2</f>
        <v>908.71201879740511</v>
      </c>
      <c r="R71" s="8" cm="1">
        <f t="array" ref="R71">(PRODUCT(1 + J$20:J71)*$K$2)-$K$2</f>
        <v>157.48692875846496</v>
      </c>
      <c r="S71" s="8" cm="1">
        <f t="array" ref="S71">(PRODUCT(1 + K$20:K71)*$K$2)-$K$2</f>
        <v>1239.9751354788623</v>
      </c>
      <c r="T71" s="8" cm="1">
        <f t="array" ref="T71">(PRODUCT(1 + L$20:L71)*$K$2)-$K$2</f>
        <v>-62.263472014740273</v>
      </c>
      <c r="U71" s="8" cm="1">
        <f t="array" ref="U71">(PRODUCT(1 + M$20:M71)*$K$2)-$K$2</f>
        <v>835.90195337612613</v>
      </c>
      <c r="V71" s="8" cm="1">
        <f t="array" ref="V71">(PRODUCT(1 + N$20:N71)*$K$2)-$K$2</f>
        <v>42.730544890076317</v>
      </c>
    </row>
    <row r="72" spans="1:22" x14ac:dyDescent="0.2">
      <c r="A72" s="1">
        <v>44652</v>
      </c>
      <c r="B72" s="6">
        <v>158.624527</v>
      </c>
      <c r="C72" s="6">
        <v>76.136398</v>
      </c>
      <c r="D72" s="6">
        <v>97.005202999999995</v>
      </c>
      <c r="E72" s="6">
        <v>45.375579999999999</v>
      </c>
      <c r="F72" s="6">
        <v>408.54968300000002</v>
      </c>
      <c r="G72" s="6">
        <v>90.482628000000005</v>
      </c>
      <c r="I72" s="7">
        <f t="shared" si="16"/>
        <v>5.0719927289235613E-2</v>
      </c>
      <c r="J72" s="7">
        <f t="shared" si="17"/>
        <v>1.6088644489369346E-2</v>
      </c>
      <c r="K72" s="7">
        <f t="shared" si="18"/>
        <v>-1.8313512594514005E-2</v>
      </c>
      <c r="L72" s="7">
        <f t="shared" si="19"/>
        <v>1.5141534537011468E-2</v>
      </c>
      <c r="M72" s="7">
        <f t="shared" si="20"/>
        <v>-8.4935069076637712E-2</v>
      </c>
      <c r="N72" s="7">
        <f t="shared" si="21"/>
        <v>1.313905453698178E-4</v>
      </c>
      <c r="O72" s="109"/>
      <c r="Q72" s="8" cm="1">
        <f t="array" ref="Q72">(PRODUCT(1 + I$20:I72)*$K$2)-$K$2</f>
        <v>1005.5217536068994</v>
      </c>
      <c r="R72" s="8" cm="1">
        <f t="array" ref="R72">(PRODUCT(1 + J$20:J72)*$K$2)-$K$2</f>
        <v>176.10932445635194</v>
      </c>
      <c r="S72" s="8" cm="1">
        <f t="array" ref="S72">(PRODUCT(1 + K$20:K72)*$K$2)-$K$2</f>
        <v>1198.9533226238718</v>
      </c>
      <c r="T72" s="8" cm="1">
        <f t="array" ref="T72">(PRODUCT(1 + L$20:L72)*$K$2)-$K$2</f>
        <v>-48.064701989634273</v>
      </c>
      <c r="U72" s="8" cm="1">
        <f t="array" ref="U72">(PRODUCT(1 + M$20:M72)*$K$2)-$K$2</f>
        <v>679.96949414819073</v>
      </c>
      <c r="V72" s="8" cm="1">
        <f t="array" ref="V72">(PRODUCT(1 + N$20:N72)*$K$2)-$K$2</f>
        <v>42.86754982504317</v>
      </c>
    </row>
    <row r="73" spans="1:22" x14ac:dyDescent="0.2">
      <c r="A73" s="1">
        <v>44682</v>
      </c>
      <c r="B73" s="6">
        <v>146.92617799999999</v>
      </c>
      <c r="C73" s="6">
        <v>78.332237000000006</v>
      </c>
      <c r="D73" s="6">
        <v>89.547852000000006</v>
      </c>
      <c r="E73" s="6">
        <v>47.406010000000002</v>
      </c>
      <c r="F73" s="6">
        <v>409.47189300000002</v>
      </c>
      <c r="G73" s="6">
        <v>90.512321</v>
      </c>
      <c r="I73" s="7">
        <f t="shared" si="16"/>
        <v>-7.3748676962169968E-2</v>
      </c>
      <c r="J73" s="7">
        <f t="shared" si="17"/>
        <v>2.8840857430633984E-2</v>
      </c>
      <c r="K73" s="7">
        <f t="shared" si="18"/>
        <v>-7.6875783662861769E-2</v>
      </c>
      <c r="L73" s="7">
        <f t="shared" si="19"/>
        <v>4.4747196619855933E-2</v>
      </c>
      <c r="M73" s="7">
        <f t="shared" si="20"/>
        <v>2.2572774826997155E-3</v>
      </c>
      <c r="N73" s="7">
        <f t="shared" si="21"/>
        <v>3.2816244019785365E-4</v>
      </c>
      <c r="O73" s="109"/>
      <c r="Q73" s="8" cm="1">
        <f t="array" ref="Q73">(PRODUCT(1 + I$20:I73)*$K$2)-$K$2</f>
        <v>857.61717765953927</v>
      </c>
      <c r="R73" s="8" cm="1">
        <f t="array" ref="R73">(PRODUCT(1 + J$20:J73)*$K$2)-$K$2</f>
        <v>210.02932580583683</v>
      </c>
      <c r="S73" s="8" cm="1">
        <f t="array" ref="S73">(PRODUCT(1 + K$20:K73)*$K$2)-$K$2</f>
        <v>1029.9070627091082</v>
      </c>
      <c r="T73" s="8" cm="1">
        <f t="array" ref="T73">(PRODUCT(1 + L$20:L73)*$K$2)-$K$2</f>
        <v>-5.4682660401832663</v>
      </c>
      <c r="U73" s="8" cm="1">
        <f t="array" ref="U73">(PRODUCT(1 + M$20:M73)*$K$2)-$K$2</f>
        <v>683.76165145895379</v>
      </c>
      <c r="V73" s="8" cm="1">
        <f t="array" ref="V73">(PRODUCT(1 + N$20:N73)*$K$2)-$K$2</f>
        <v>43.209779784997181</v>
      </c>
    </row>
    <row r="74" spans="1:22" x14ac:dyDescent="0.2">
      <c r="A74" s="1">
        <v>44713</v>
      </c>
      <c r="B74" s="6">
        <v>142.862549</v>
      </c>
      <c r="C74" s="6">
        <v>79.654182000000006</v>
      </c>
      <c r="D74" s="6">
        <v>92.381775000000005</v>
      </c>
      <c r="E74" s="6">
        <v>45.422417000000003</v>
      </c>
      <c r="F74" s="6">
        <v>374.09069799999997</v>
      </c>
      <c r="G74" s="6">
        <v>90.551910000000007</v>
      </c>
      <c r="I74" s="7">
        <f t="shared" si="16"/>
        <v>-2.7657624089289193E-2</v>
      </c>
      <c r="J74" s="7">
        <f t="shared" si="17"/>
        <v>1.6876129811025306E-2</v>
      </c>
      <c r="K74" s="7">
        <f t="shared" si="18"/>
        <v>3.1647023761105945E-2</v>
      </c>
      <c r="L74" s="7">
        <f t="shared" si="19"/>
        <v>-4.1842648221185434E-2</v>
      </c>
      <c r="M74" s="7">
        <f t="shared" si="20"/>
        <v>-8.6406895332374001E-2</v>
      </c>
      <c r="N74" s="7">
        <f t="shared" si="21"/>
        <v>4.3738796621961042E-4</v>
      </c>
      <c r="O74" s="109"/>
      <c r="Q74" s="8" cm="1">
        <f t="array" ref="Q74">(PRODUCT(1 + I$20:I74)*$K$2)-$K$2</f>
        <v>806.23990005802557</v>
      </c>
      <c r="R74" s="8" cm="1">
        <f t="array" ref="R74">(PRODUCT(1 + J$20:J74)*$K$2)-$K$2</f>
        <v>230.44993778328353</v>
      </c>
      <c r="S74" s="8" cm="1">
        <f t="array" ref="S74">(PRODUCT(1 + K$20:K74)*$K$2)-$K$2</f>
        <v>1094.1475797554999</v>
      </c>
      <c r="T74" s="8" cm="1">
        <f t="array" ref="T74">(PRODUCT(1 + L$20:L74)*$K$2)-$K$2</f>
        <v>-47.082107529069503</v>
      </c>
      <c r="U74" s="8" cm="1">
        <f t="array" ref="U74">(PRODUCT(1 + M$20:M74)*$K$2)-$K$2</f>
        <v>538.27303467667457</v>
      </c>
      <c r="V74" s="8" cm="1">
        <f t="array" ref="V74">(PRODUCT(1 + N$20:N74)*$K$2)-$K$2</f>
        <v>43.66606718891785</v>
      </c>
    </row>
    <row r="75" spans="1:22" x14ac:dyDescent="0.2">
      <c r="A75" s="1">
        <v>44743</v>
      </c>
      <c r="B75" s="6">
        <v>138.014038</v>
      </c>
      <c r="C75" s="6">
        <v>78.262664999999998</v>
      </c>
      <c r="D75" s="6">
        <v>87.705855999999997</v>
      </c>
      <c r="E75" s="6">
        <v>48.227245000000003</v>
      </c>
      <c r="F75" s="6">
        <v>410.30453499999999</v>
      </c>
      <c r="G75" s="6">
        <v>90.562813000000006</v>
      </c>
      <c r="I75" s="7">
        <f t="shared" si="16"/>
        <v>-3.393829267319038E-2</v>
      </c>
      <c r="J75" s="7">
        <f t="shared" si="17"/>
        <v>-1.7469478250369923E-2</v>
      </c>
      <c r="K75" s="7">
        <f t="shared" si="18"/>
        <v>-5.0615167331435312E-2</v>
      </c>
      <c r="L75" s="7">
        <f t="shared" si="19"/>
        <v>6.1749862408246578E-2</v>
      </c>
      <c r="M75" s="7">
        <f t="shared" si="20"/>
        <v>9.6804965195900206E-2</v>
      </c>
      <c r="N75" s="7">
        <f t="shared" si="21"/>
        <v>1.2040607426170244E-4</v>
      </c>
      <c r="O75" s="109"/>
      <c r="Q75" s="8" cm="1">
        <f t="array" ref="Q75">(PRODUCT(1 + I$20:I75)*$K$2)-$K$2</f>
        <v>744.93920169186208</v>
      </c>
      <c r="R75" s="8" cm="1">
        <f t="array" ref="R75">(PRODUCT(1 + J$20:J75)*$K$2)-$K$2</f>
        <v>208.95461935700951</v>
      </c>
      <c r="S75" s="8" cm="1">
        <f t="array" ref="S75">(PRODUCT(1 + K$20:K75)*$K$2)-$K$2</f>
        <v>988.15194958945517</v>
      </c>
      <c r="T75" s="8" cm="1">
        <f t="array" ref="T75">(PRODUCT(1 + L$20:L75)*$K$2)-$K$2</f>
        <v>11.760441217366861</v>
      </c>
      <c r="U75" s="8" cm="1">
        <f t="array" ref="U75">(PRODUCT(1 + M$20:M75)*$K$2)-$K$2</f>
        <v>687.18550226034199</v>
      </c>
      <c r="V75" s="8" cm="1">
        <f t="array" ref="V75">(PRODUCT(1 + N$20:N75)*$K$2)-$K$2</f>
        <v>43.791730922908073</v>
      </c>
    </row>
    <row r="76" spans="1:22" x14ac:dyDescent="0.2">
      <c r="A76" s="1">
        <v>44774</v>
      </c>
      <c r="B76" s="6">
        <v>137.94000199999999</v>
      </c>
      <c r="C76" s="6">
        <v>78.209998999999996</v>
      </c>
      <c r="D76" s="6">
        <v>83.458648999999994</v>
      </c>
      <c r="E76" s="6">
        <v>44.986328</v>
      </c>
      <c r="F76" s="6">
        <v>393.56329299999999</v>
      </c>
      <c r="G76" s="6">
        <v>90.694557000000003</v>
      </c>
      <c r="I76" s="7">
        <f t="shared" si="16"/>
        <v>-5.3643818464326539E-4</v>
      </c>
      <c r="J76" s="7">
        <f t="shared" si="17"/>
        <v>-6.7293900610210634E-4</v>
      </c>
      <c r="K76" s="7">
        <f t="shared" si="18"/>
        <v>-4.8425580613454172E-2</v>
      </c>
      <c r="L76" s="7">
        <f t="shared" si="19"/>
        <v>-6.7200956637684842E-2</v>
      </c>
      <c r="M76" s="7">
        <f t="shared" si="20"/>
        <v>-4.0801991135681698E-2</v>
      </c>
      <c r="N76" s="7">
        <f t="shared" si="21"/>
        <v>1.4547251309430685E-3</v>
      </c>
      <c r="O76" s="109"/>
      <c r="Q76" s="8" cm="1">
        <f t="array" ref="Q76">(PRODUCT(1 + I$20:I76)*$K$2)-$K$2</f>
        <v>744.00314967419376</v>
      </c>
      <c r="R76" s="8" cm="1">
        <f t="array" ref="R76">(PRODUCT(1 + J$20:J76)*$K$2)-$K$2</f>
        <v>208.14106663703683</v>
      </c>
      <c r="S76" s="8" cm="1">
        <f t="array" ref="S76">(PRODUCT(1 + K$20:K76)*$K$2)-$K$2</f>
        <v>891.87453708281487</v>
      </c>
      <c r="T76" s="8" cm="1">
        <f t="array" ref="T76">(PRODUCT(1 + L$20:L76)*$K$2)-$K$2</f>
        <v>-56.230828320606292</v>
      </c>
      <c r="U76" s="8" cm="1">
        <f t="array" ref="U76">(PRODUCT(1 + M$20:M76)*$K$2)-$K$2</f>
        <v>618.34497435286471</v>
      </c>
      <c r="V76" s="8" cm="1">
        <f t="array" ref="V76">(PRODUCT(1 + N$20:N76)*$K$2)-$K$2</f>
        <v>45.31016098535224</v>
      </c>
    </row>
    <row r="77" spans="1:22" x14ac:dyDescent="0.2">
      <c r="A77" s="1">
        <v>44805</v>
      </c>
      <c r="B77" s="6">
        <v>126.25</v>
      </c>
      <c r="C77" s="6">
        <v>70.25</v>
      </c>
      <c r="D77" s="6">
        <v>71.440002000000007</v>
      </c>
      <c r="E77" s="6">
        <v>43.84</v>
      </c>
      <c r="F77" s="6">
        <v>355.71875</v>
      </c>
      <c r="G77" s="6">
        <v>90.840423999999999</v>
      </c>
      <c r="I77" s="7">
        <f t="shared" si="16"/>
        <v>-8.4747004715861857E-2</v>
      </c>
      <c r="J77" s="7">
        <f t="shared" si="17"/>
        <v>-0.10177725484947259</v>
      </c>
      <c r="K77" s="7">
        <f t="shared" si="18"/>
        <v>-0.14400720768916339</v>
      </c>
      <c r="L77" s="7">
        <f t="shared" si="19"/>
        <v>-2.5481697461504235E-2</v>
      </c>
      <c r="M77" s="7">
        <f t="shared" si="20"/>
        <v>-9.6158721286032103E-2</v>
      </c>
      <c r="N77" s="7">
        <f t="shared" si="21"/>
        <v>1.6083324603481499E-3</v>
      </c>
      <c r="O77" s="109"/>
      <c r="Q77" s="8" cm="1">
        <f t="array" ref="Q77">(PRODUCT(1 + I$20:I77)*$K$2)-$K$2</f>
        <v>596.20410652427699</v>
      </c>
      <c r="R77" s="8" cm="1">
        <f t="array" ref="R77">(PRODUCT(1 + J$20:J77)*$K$2)-$K$2</f>
        <v>85.179785403805454</v>
      </c>
      <c r="S77" s="8" cm="1">
        <f t="array" ref="S77">(PRODUCT(1 + K$20:K77)*$K$2)-$K$2</f>
        <v>619.43096769929025</v>
      </c>
      <c r="T77" s="8" cm="1">
        <f t="array" ref="T77">(PRODUCT(1 + L$20:L77)*$K$2)-$K$2</f>
        <v>-80.279668826835064</v>
      </c>
      <c r="U77" s="8" cm="1">
        <f t="array" ref="U77">(PRODUCT(1 + M$20:M77)*$K$2)-$K$2</f>
        <v>462.7269910194168</v>
      </c>
      <c r="V77" s="8" cm="1">
        <f t="array" ref="V77">(PRODUCT(1 + N$20:N77)*$K$2)-$K$2</f>
        <v>46.991367248396728</v>
      </c>
    </row>
    <row r="78" spans="1:22" x14ac:dyDescent="0.2">
      <c r="A78" s="1">
        <v>44835</v>
      </c>
      <c r="B78" s="6">
        <v>124.230003</v>
      </c>
      <c r="C78" s="6">
        <v>69.050003000000004</v>
      </c>
      <c r="D78" s="6">
        <v>71.910004000000001</v>
      </c>
      <c r="E78" s="6">
        <v>43.32</v>
      </c>
      <c r="F78" s="6">
        <v>357.63000499999998</v>
      </c>
      <c r="G78" s="6">
        <v>90.968620000000001</v>
      </c>
      <c r="I78" s="7">
        <f t="shared" si="16"/>
        <v>-1.5999976237623791E-2</v>
      </c>
      <c r="J78" s="7">
        <f t="shared" si="17"/>
        <v>-1.708180782918144E-2</v>
      </c>
      <c r="K78" s="7">
        <f t="shared" si="18"/>
        <v>6.5789751797598458E-3</v>
      </c>
      <c r="L78" s="7">
        <f t="shared" si="19"/>
        <v>-1.1861313868613209E-2</v>
      </c>
      <c r="M78" s="7">
        <f t="shared" si="20"/>
        <v>5.3729385926380964E-3</v>
      </c>
      <c r="N78" s="7">
        <f t="shared" si="21"/>
        <v>1.4112219467403921E-3</v>
      </c>
      <c r="O78" s="109"/>
      <c r="Q78" s="8" cm="1">
        <f t="array" ref="Q78">(PRODUCT(1 + I$20:I78)*$K$2)-$K$2</f>
        <v>570.66487874949075</v>
      </c>
      <c r="R78" s="8" cm="1">
        <f t="array" ref="R78">(PRODUCT(1 + J$20:J78)*$K$2)-$K$2</f>
        <v>66.642952849425228</v>
      </c>
      <c r="S78" s="8" cm="1">
        <f t="array" ref="S78">(PRODUCT(1 + K$20:K78)*$K$2)-$K$2</f>
        <v>630.08516384111817</v>
      </c>
      <c r="T78" s="8" cm="1">
        <f t="array" ref="T78">(PRODUCT(1 + L$20:L78)*$K$2)-$K$2</f>
        <v>-91.188760346224853</v>
      </c>
      <c r="U78" s="8" cm="1">
        <f t="array" ref="U78">(PRODUCT(1 + M$20:M78)*$K$2)-$K$2</f>
        <v>470.58613331995821</v>
      </c>
      <c r="V78" s="8" cm="1">
        <f t="array" ref="V78">(PRODUCT(1 + N$20:N78)*$K$2)-$K$2</f>
        <v>48.468904443905558</v>
      </c>
    </row>
  </sheetData>
  <mergeCells count="3">
    <mergeCell ref="Q17:V17"/>
    <mergeCell ref="B17:E17"/>
    <mergeCell ref="I17:N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13C9-47C4-B840-A64A-013EA194F6BA}">
  <dimension ref="A1:AC78"/>
  <sheetViews>
    <sheetView zoomScaleNormal="100" workbookViewId="0">
      <selection activeCell="P27" sqref="P27"/>
    </sheetView>
  </sheetViews>
  <sheetFormatPr baseColWidth="10" defaultRowHeight="16" x14ac:dyDescent="0.2"/>
  <cols>
    <col min="8" max="8" width="15.1640625" bestFit="1" customWidth="1"/>
    <col min="13" max="13" width="17.1640625" bestFit="1" customWidth="1"/>
    <col min="14" max="14" width="16.33203125" bestFit="1" customWidth="1"/>
    <col min="15" max="15" width="17.6640625" bestFit="1" customWidth="1"/>
    <col min="16" max="16" width="15.5" bestFit="1" customWidth="1"/>
    <col min="17" max="17" width="15.83203125" bestFit="1" customWidth="1"/>
    <col min="18" max="18" width="17.1640625" bestFit="1" customWidth="1"/>
    <col min="24" max="24" width="15.83203125" bestFit="1" customWidth="1"/>
    <col min="25" max="25" width="17.1640625" bestFit="1" customWidth="1"/>
    <col min="26" max="26" width="14.83203125" bestFit="1" customWidth="1"/>
    <col min="27" max="27" width="8" bestFit="1" customWidth="1"/>
    <col min="28" max="28" width="7.83203125" bestFit="1" customWidth="1"/>
  </cols>
  <sheetData>
    <row r="1" spans="1:24" ht="17" thickBot="1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x14ac:dyDescent="0.2">
      <c r="A2" s="83"/>
      <c r="B2" s="83" t="s">
        <v>7</v>
      </c>
      <c r="C2" s="83" t="s">
        <v>8</v>
      </c>
      <c r="D2" s="83" t="s">
        <v>9</v>
      </c>
      <c r="E2" s="83" t="s">
        <v>10</v>
      </c>
      <c r="F2" s="83" t="s">
        <v>17</v>
      </c>
      <c r="G2" s="83" t="s">
        <v>389</v>
      </c>
      <c r="H2" s="84" t="s">
        <v>392</v>
      </c>
      <c r="I2" s="82"/>
      <c r="J2" s="82" t="s">
        <v>15</v>
      </c>
      <c r="K2" s="86">
        <v>1000</v>
      </c>
      <c r="L2" s="82"/>
      <c r="M2" s="116"/>
      <c r="N2" s="116" t="s">
        <v>7</v>
      </c>
      <c r="O2" s="116" t="s">
        <v>8</v>
      </c>
      <c r="P2" s="116" t="s">
        <v>9</v>
      </c>
      <c r="Q2" s="116" t="s">
        <v>10</v>
      </c>
      <c r="R2" s="116" t="s">
        <v>17</v>
      </c>
      <c r="S2" s="87"/>
      <c r="T2" s="87"/>
      <c r="U2" s="87"/>
      <c r="V2" s="87"/>
      <c r="W2" s="87"/>
      <c r="X2" s="87"/>
    </row>
    <row r="3" spans="1:24" x14ac:dyDescent="0.2">
      <c r="A3" s="88" t="s">
        <v>2</v>
      </c>
      <c r="B3" s="89">
        <v>8.8000000000000005E-3</v>
      </c>
      <c r="C3" s="89">
        <v>2.3E-3</v>
      </c>
      <c r="D3" s="89">
        <v>1.03E-2</v>
      </c>
      <c r="E3" s="89">
        <v>-5.0000000000000001E-4</v>
      </c>
      <c r="F3" s="89">
        <v>8.0000000000000002E-3</v>
      </c>
      <c r="G3" s="89">
        <v>8.0000000000000004E-4</v>
      </c>
      <c r="H3" s="90">
        <v>5.7999999999999996E-3</v>
      </c>
      <c r="I3" s="82"/>
      <c r="J3" s="82"/>
      <c r="K3" s="82"/>
      <c r="L3" s="86"/>
      <c r="M3" s="114" t="s">
        <v>7</v>
      </c>
      <c r="N3" s="114">
        <v>1</v>
      </c>
      <c r="O3" s="114"/>
      <c r="P3" s="114"/>
      <c r="Q3" s="114"/>
      <c r="R3" s="114"/>
      <c r="S3" s="92"/>
      <c r="T3" s="92"/>
      <c r="U3" s="92"/>
      <c r="V3" s="92"/>
      <c r="W3" s="92"/>
      <c r="X3" s="91"/>
    </row>
    <row r="4" spans="1:24" x14ac:dyDescent="0.2">
      <c r="A4" s="88" t="s">
        <v>3</v>
      </c>
      <c r="B4" s="89">
        <v>7.6E-3</v>
      </c>
      <c r="C4" s="89">
        <v>1.1000000000000001E-3</v>
      </c>
      <c r="D4" s="89">
        <v>8.2000000000000007E-3</v>
      </c>
      <c r="E4" s="89">
        <v>-1.6000000000000001E-3</v>
      </c>
      <c r="F4" s="89">
        <v>6.4000000000000003E-3</v>
      </c>
      <c r="G4" s="89">
        <v>8.0000000000000004E-4</v>
      </c>
      <c r="H4" s="90">
        <v>4.3E-3</v>
      </c>
      <c r="I4" s="82"/>
      <c r="J4" s="82" t="s">
        <v>16</v>
      </c>
      <c r="K4" s="93">
        <v>9.7000000000000003E-3</v>
      </c>
      <c r="L4" s="82"/>
      <c r="M4" s="114" t="s">
        <v>8</v>
      </c>
      <c r="N4" s="114">
        <v>0.63545813648955041</v>
      </c>
      <c r="O4" s="114">
        <v>1</v>
      </c>
      <c r="P4" s="114"/>
      <c r="Q4" s="114"/>
      <c r="R4" s="114"/>
      <c r="S4" s="91"/>
      <c r="T4" s="92"/>
      <c r="U4" s="92"/>
      <c r="V4" s="92"/>
      <c r="W4" s="91"/>
      <c r="X4" s="91"/>
    </row>
    <row r="5" spans="1:24" x14ac:dyDescent="0.2">
      <c r="A5" s="88" t="s">
        <v>4</v>
      </c>
      <c r="B5" s="89">
        <v>0.1114</v>
      </c>
      <c r="C5" s="89">
        <v>2.8299999999999999E-2</v>
      </c>
      <c r="D5" s="89">
        <v>0.13070000000000001</v>
      </c>
      <c r="E5" s="89">
        <v>-5.4000000000000003E-3</v>
      </c>
      <c r="F5" s="89">
        <v>0.1</v>
      </c>
      <c r="G5" s="89">
        <v>9.7000000000000003E-3</v>
      </c>
      <c r="H5" s="90">
        <v>7.1800000000000003E-2</v>
      </c>
      <c r="I5" s="82"/>
      <c r="J5" s="82"/>
      <c r="K5" s="82"/>
      <c r="L5" s="93"/>
      <c r="M5" s="114" t="s">
        <v>9</v>
      </c>
      <c r="N5" s="114">
        <v>0.69501895869689934</v>
      </c>
      <c r="O5" s="114">
        <v>0.61307325535619861</v>
      </c>
      <c r="P5" s="114">
        <v>1</v>
      </c>
      <c r="Q5" s="114"/>
      <c r="R5" s="114"/>
      <c r="S5" s="94"/>
      <c r="T5" s="94"/>
      <c r="U5" s="94"/>
      <c r="V5" s="94"/>
      <c r="W5" s="94"/>
      <c r="X5" s="94"/>
    </row>
    <row r="6" spans="1:24" x14ac:dyDescent="0.2">
      <c r="A6" s="88" t="s">
        <v>5</v>
      </c>
      <c r="B6" s="89">
        <v>9.4500000000000001E-2</v>
      </c>
      <c r="C6" s="89">
        <v>1.2999999999999999E-2</v>
      </c>
      <c r="D6" s="89">
        <v>0.1027</v>
      </c>
      <c r="E6" s="89">
        <v>-1.89E-2</v>
      </c>
      <c r="F6" s="89">
        <v>8.0199999999999994E-2</v>
      </c>
      <c r="G6" s="89">
        <v>9.4999999999999998E-3</v>
      </c>
      <c r="H6" s="90">
        <v>5.3199999999999997E-2</v>
      </c>
      <c r="I6" s="82"/>
      <c r="J6" s="82"/>
      <c r="K6" s="82"/>
      <c r="L6" s="93"/>
      <c r="M6" s="114" t="s">
        <v>10</v>
      </c>
      <c r="N6" s="114">
        <v>0.43145302755021481</v>
      </c>
      <c r="O6" s="114">
        <v>0.58653920841846874</v>
      </c>
      <c r="P6" s="114">
        <v>0.49443136849177366</v>
      </c>
      <c r="Q6" s="114">
        <v>1</v>
      </c>
      <c r="R6" s="114"/>
      <c r="S6" s="82"/>
      <c r="T6" s="82"/>
      <c r="U6" s="95"/>
      <c r="V6" s="82"/>
      <c r="W6" s="82"/>
      <c r="X6" s="82"/>
    </row>
    <row r="7" spans="1:24" ht="17" thickBot="1" x14ac:dyDescent="0.25">
      <c r="A7" s="88" t="s">
        <v>11</v>
      </c>
      <c r="B7" s="96">
        <v>570.66</v>
      </c>
      <c r="C7" s="96">
        <v>66.64</v>
      </c>
      <c r="D7" s="96">
        <v>630.09</v>
      </c>
      <c r="E7" s="96">
        <v>-91.19</v>
      </c>
      <c r="F7" s="96">
        <v>470.59</v>
      </c>
      <c r="G7" s="96">
        <v>48.47</v>
      </c>
      <c r="H7" s="84"/>
      <c r="I7" s="82"/>
      <c r="J7" s="82"/>
      <c r="K7" s="82"/>
      <c r="L7" s="93"/>
      <c r="M7" s="115" t="s">
        <v>17</v>
      </c>
      <c r="N7" s="115">
        <v>0.40193263480340569</v>
      </c>
      <c r="O7" s="115">
        <v>0.51661855620513497</v>
      </c>
      <c r="P7" s="115">
        <v>0.34091859746634046</v>
      </c>
      <c r="Q7" s="115">
        <v>0.43114844496554039</v>
      </c>
      <c r="R7" s="115">
        <v>1</v>
      </c>
      <c r="S7" s="94"/>
      <c r="T7" s="94"/>
      <c r="U7" s="94"/>
      <c r="V7" s="94"/>
      <c r="W7" s="94"/>
      <c r="X7" s="94"/>
    </row>
    <row r="8" spans="1:24" x14ac:dyDescent="0.2">
      <c r="A8" s="88" t="s">
        <v>12</v>
      </c>
      <c r="B8" s="97">
        <v>4.8750000000000002E-2</v>
      </c>
      <c r="C8" s="97">
        <v>4.999E-2</v>
      </c>
      <c r="D8" s="97">
        <v>6.4560000000000006E-2</v>
      </c>
      <c r="E8" s="97">
        <v>4.8649999999999999E-2</v>
      </c>
      <c r="F8" s="97">
        <v>5.3510000000000002E-2</v>
      </c>
      <c r="G8" s="97">
        <v>1.1100000000000001E-3</v>
      </c>
      <c r="H8" s="90">
        <f>_xlfn.STDEV.S(O20:O78)</f>
        <v>4.1552732176999702E-2</v>
      </c>
      <c r="I8" s="82"/>
      <c r="J8" s="82"/>
      <c r="K8" s="82"/>
      <c r="L8" s="93"/>
      <c r="M8" s="82"/>
      <c r="N8" s="82"/>
      <c r="O8" s="82"/>
      <c r="P8" s="82"/>
      <c r="Q8" s="82"/>
      <c r="R8" s="82"/>
      <c r="S8" s="82"/>
      <c r="T8" s="82"/>
      <c r="U8" s="95"/>
      <c r="V8" s="82"/>
      <c r="W8" s="82"/>
      <c r="X8" s="82"/>
    </row>
    <row r="9" spans="1:24" x14ac:dyDescent="0.2">
      <c r="A9" s="88" t="s">
        <v>13</v>
      </c>
      <c r="B9" s="89">
        <v>0.16889999999999999</v>
      </c>
      <c r="C9" s="89">
        <v>0.17319999999999999</v>
      </c>
      <c r="D9" s="89">
        <v>0.22359999999999999</v>
      </c>
      <c r="E9" s="89">
        <v>0.16850000000000001</v>
      </c>
      <c r="F9" s="89">
        <v>0.18540000000000001</v>
      </c>
      <c r="G9" s="89">
        <v>3.8E-3</v>
      </c>
      <c r="H9" s="90">
        <f>H8*SQRT(12)</f>
        <v>0.14394288664773119</v>
      </c>
      <c r="I9" s="82"/>
      <c r="J9" s="82"/>
      <c r="K9" s="82"/>
      <c r="L9" s="82"/>
      <c r="M9" s="82"/>
      <c r="N9" s="82"/>
      <c r="O9" s="82"/>
      <c r="P9" s="82"/>
      <c r="Q9" s="82"/>
      <c r="R9" s="94"/>
      <c r="S9" s="94"/>
      <c r="T9" s="94"/>
      <c r="U9" s="94"/>
      <c r="V9" s="94"/>
      <c r="W9" s="94"/>
      <c r="X9" s="94"/>
    </row>
    <row r="10" spans="1:24" x14ac:dyDescent="0.2">
      <c r="A10" s="88"/>
      <c r="B10" s="83"/>
      <c r="C10" s="83"/>
      <c r="D10" s="83"/>
      <c r="E10" s="83"/>
      <c r="F10" s="83"/>
      <c r="G10" s="83"/>
      <c r="H10" s="84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95"/>
      <c r="V10" s="82"/>
      <c r="W10" s="82"/>
      <c r="X10" s="82"/>
    </row>
    <row r="11" spans="1:24" x14ac:dyDescent="0.2">
      <c r="A11" s="88" t="s">
        <v>14</v>
      </c>
      <c r="B11" s="98">
        <v>0.60299999999999998</v>
      </c>
      <c r="C11" s="98">
        <v>0.107</v>
      </c>
      <c r="D11" s="98">
        <v>0.54100000000000004</v>
      </c>
      <c r="E11" s="98">
        <v>-0.09</v>
      </c>
      <c r="F11" s="98">
        <v>0.48699999999999999</v>
      </c>
      <c r="G11" s="98">
        <v>0</v>
      </c>
      <c r="H11" s="99">
        <f>(H5-K4)/H9</f>
        <v>0.43142111045734549</v>
      </c>
      <c r="I11" s="82"/>
      <c r="J11" s="82"/>
      <c r="K11" s="82"/>
      <c r="L11" s="82"/>
      <c r="M11" s="82"/>
      <c r="N11" s="82"/>
      <c r="O11" s="82"/>
      <c r="P11" s="82"/>
      <c r="Q11" s="82"/>
      <c r="R11" s="94"/>
      <c r="S11" s="94"/>
      <c r="T11" s="94"/>
      <c r="U11" s="94"/>
      <c r="V11" s="94"/>
      <c r="W11" s="94"/>
      <c r="X11" s="94"/>
    </row>
    <row r="12" spans="1:24" x14ac:dyDescent="0.2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95"/>
      <c r="V12" s="82"/>
      <c r="W12" s="82"/>
      <c r="X12" s="82"/>
    </row>
    <row r="13" spans="1:24" x14ac:dyDescent="0.2">
      <c r="A13" s="82"/>
      <c r="B13" s="82"/>
      <c r="C13" s="82"/>
      <c r="D13" s="82"/>
      <c r="E13" s="82"/>
      <c r="F13" s="82"/>
      <c r="G13" s="82"/>
      <c r="H13" s="82"/>
      <c r="I13" s="100"/>
      <c r="J13" s="100"/>
      <c r="K13" s="100"/>
      <c r="L13" s="100"/>
      <c r="M13" s="100"/>
      <c r="N13" s="82"/>
      <c r="O13" s="82"/>
      <c r="P13" s="82"/>
      <c r="Q13" s="82"/>
      <c r="R13" s="94"/>
      <c r="S13" s="94"/>
      <c r="T13" s="94"/>
      <c r="U13" s="94"/>
      <c r="V13" s="94"/>
      <c r="W13" s="94"/>
      <c r="X13" s="94"/>
    </row>
    <row r="14" spans="1:24" x14ac:dyDescent="0.2">
      <c r="A14" s="82"/>
      <c r="B14" s="82"/>
      <c r="C14" s="82"/>
      <c r="D14" s="82"/>
      <c r="E14" s="82"/>
      <c r="F14" s="82"/>
      <c r="G14" s="82"/>
      <c r="H14" s="82" t="s">
        <v>393</v>
      </c>
      <c r="I14" s="113">
        <v>0.35</v>
      </c>
      <c r="J14" s="113">
        <v>7.0000000000000007E-2</v>
      </c>
      <c r="K14" s="113">
        <v>0</v>
      </c>
      <c r="L14" s="113">
        <v>0.34</v>
      </c>
      <c r="M14" s="113">
        <v>0.24</v>
      </c>
      <c r="N14" s="100">
        <f>SUM(I14:M14)</f>
        <v>1</v>
      </c>
      <c r="O14" s="82"/>
      <c r="P14" s="82"/>
      <c r="Q14" s="82"/>
      <c r="R14" s="82"/>
      <c r="S14" s="82"/>
      <c r="T14" s="82"/>
      <c r="U14" s="95"/>
      <c r="V14" s="82"/>
      <c r="W14" s="82"/>
      <c r="X14" s="82"/>
    </row>
    <row r="15" spans="1:24" x14ac:dyDescent="0.2">
      <c r="A15" s="82"/>
      <c r="B15" s="82"/>
      <c r="C15" s="82"/>
      <c r="D15" s="82"/>
      <c r="E15" s="82"/>
      <c r="F15" s="82"/>
      <c r="G15" s="82"/>
      <c r="H15" t="s">
        <v>394</v>
      </c>
      <c r="I15">
        <v>0.45800000000000002</v>
      </c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 spans="1:24" x14ac:dyDescent="0.2">
      <c r="A16" s="82"/>
      <c r="B16" s="82"/>
      <c r="C16" s="82"/>
      <c r="D16" s="82"/>
      <c r="E16" s="82"/>
      <c r="F16" s="82"/>
      <c r="G16" s="82"/>
      <c r="H16" s="82" t="s">
        <v>395</v>
      </c>
      <c r="I16" s="100">
        <v>0.2</v>
      </c>
      <c r="J16" s="100">
        <v>0.2</v>
      </c>
      <c r="K16" s="100">
        <v>0.2</v>
      </c>
      <c r="L16" s="100">
        <v>0.2</v>
      </c>
      <c r="M16" s="100">
        <v>0.2</v>
      </c>
      <c r="N16" s="100">
        <f>SUM(I16:M16)</f>
        <v>1</v>
      </c>
      <c r="O16" s="82"/>
      <c r="P16" s="82"/>
      <c r="Q16" s="82"/>
      <c r="R16" s="82"/>
      <c r="S16" s="82"/>
      <c r="T16" s="82"/>
      <c r="U16" s="82"/>
      <c r="V16" s="82"/>
      <c r="W16" s="82"/>
      <c r="X16" s="82"/>
    </row>
    <row r="17" spans="1:29" x14ac:dyDescent="0.2">
      <c r="A17" s="82"/>
      <c r="B17" s="106" t="s">
        <v>6</v>
      </c>
      <c r="C17" s="106"/>
      <c r="D17" s="106"/>
      <c r="E17" s="106"/>
      <c r="F17" s="82"/>
      <c r="G17" s="82"/>
      <c r="H17" s="82"/>
      <c r="I17" s="106" t="s">
        <v>1</v>
      </c>
      <c r="J17" s="106"/>
      <c r="K17" s="106"/>
      <c r="L17" s="106"/>
      <c r="M17" s="106"/>
      <c r="N17" s="106"/>
      <c r="O17" s="82"/>
      <c r="P17" s="82"/>
      <c r="Q17" s="106" t="s">
        <v>18</v>
      </c>
      <c r="R17" s="106"/>
      <c r="S17" s="106"/>
      <c r="T17" s="106"/>
      <c r="U17" s="106"/>
      <c r="V17" s="106"/>
      <c r="W17" s="82"/>
      <c r="X17" s="82" t="s">
        <v>396</v>
      </c>
    </row>
    <row r="18" spans="1:29" x14ac:dyDescent="0.2">
      <c r="A18" s="82" t="s">
        <v>0</v>
      </c>
      <c r="B18" s="82" t="s">
        <v>7</v>
      </c>
      <c r="C18" s="82" t="s">
        <v>8</v>
      </c>
      <c r="D18" s="82" t="s">
        <v>9</v>
      </c>
      <c r="E18" s="82" t="s">
        <v>10</v>
      </c>
      <c r="F18" s="82" t="s">
        <v>17</v>
      </c>
      <c r="G18" s="82" t="s">
        <v>389</v>
      </c>
      <c r="H18" s="82"/>
      <c r="I18" s="82" t="s">
        <v>7</v>
      </c>
      <c r="J18" s="82" t="s">
        <v>8</v>
      </c>
      <c r="K18" s="82" t="s">
        <v>9</v>
      </c>
      <c r="L18" s="82" t="s">
        <v>10</v>
      </c>
      <c r="M18" s="82" t="s">
        <v>17</v>
      </c>
      <c r="N18" s="82" t="s">
        <v>389</v>
      </c>
      <c r="O18" s="82" t="s">
        <v>391</v>
      </c>
      <c r="P18" s="82"/>
      <c r="Q18" s="82" t="s">
        <v>7</v>
      </c>
      <c r="R18" s="82" t="s">
        <v>8</v>
      </c>
      <c r="S18" s="82" t="s">
        <v>9</v>
      </c>
      <c r="T18" s="82" t="s">
        <v>10</v>
      </c>
      <c r="U18" s="82" t="s">
        <v>17</v>
      </c>
      <c r="V18" s="82" t="s">
        <v>389</v>
      </c>
      <c r="W18" s="82"/>
      <c r="X18" s="82" t="str">
        <f>Q18</f>
        <v>Proctor &amp; Gamble</v>
      </c>
      <c r="Y18" s="82" t="str">
        <f t="shared" ref="Y18:AA18" si="0">R18</f>
        <v>Colgate - Palmolive</v>
      </c>
      <c r="Z18" s="82" t="str">
        <f t="shared" si="0"/>
        <v>Church &amp; Dwight</v>
      </c>
      <c r="AA18" s="82" t="str">
        <f t="shared" si="0"/>
        <v>Unilever</v>
      </c>
      <c r="AB18" s="82" t="str">
        <f>U18</f>
        <v>SPY</v>
      </c>
      <c r="AC18" t="s">
        <v>391</v>
      </c>
    </row>
    <row r="19" spans="1:29" x14ac:dyDescent="0.2">
      <c r="A19" s="101">
        <v>43040</v>
      </c>
      <c r="B19" s="102">
        <v>79.093895000000003</v>
      </c>
      <c r="C19" s="102">
        <v>64.735816999999997</v>
      </c>
      <c r="D19" s="102">
        <v>44.114261999999997</v>
      </c>
      <c r="E19" s="102">
        <v>47.666663999999997</v>
      </c>
      <c r="F19" s="102">
        <v>243.188751</v>
      </c>
      <c r="G19" s="102">
        <v>86.763298000000006</v>
      </c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93"/>
    </row>
    <row r="20" spans="1:29" x14ac:dyDescent="0.2">
      <c r="A20" s="101">
        <v>43070</v>
      </c>
      <c r="B20" s="102">
        <v>80.755050999999995</v>
      </c>
      <c r="C20" s="102">
        <v>67.416374000000005</v>
      </c>
      <c r="D20" s="102">
        <v>47.196525999999999</v>
      </c>
      <c r="E20" s="102">
        <v>47.058033000000002</v>
      </c>
      <c r="F20" s="102">
        <v>244.88635300000001</v>
      </c>
      <c r="G20" s="102">
        <v>86.753806999999995</v>
      </c>
      <c r="H20" s="82"/>
      <c r="I20" s="103">
        <v>2.1000000000000001E-2</v>
      </c>
      <c r="J20" s="103">
        <v>4.1399999999999999E-2</v>
      </c>
      <c r="K20" s="103">
        <v>6.9900000000000004E-2</v>
      </c>
      <c r="L20" s="103">
        <v>-1.2800000000000001E-2</v>
      </c>
      <c r="M20" s="103">
        <v>7.0000000000000001E-3</v>
      </c>
      <c r="N20" s="103">
        <v>-1E-4</v>
      </c>
      <c r="O20" s="104">
        <f>SUMPRODUCT($I$16:$M$16,I20:M20)</f>
        <v>2.5300000000000003E-2</v>
      </c>
      <c r="P20" s="82"/>
      <c r="Q20" s="82"/>
      <c r="R20" s="82"/>
      <c r="S20" s="82"/>
      <c r="T20" s="82"/>
      <c r="U20" s="82"/>
      <c r="V20" s="82"/>
      <c r="W20" s="82"/>
      <c r="X20" s="111">
        <f>I20-$N20</f>
        <v>2.1100000000000001E-2</v>
      </c>
      <c r="Y20" s="111">
        <f t="shared" ref="Y20:AB35" si="1">J20-$N20</f>
        <v>4.1500000000000002E-2</v>
      </c>
      <c r="Z20" s="111">
        <f t="shared" si="1"/>
        <v>7.0000000000000007E-2</v>
      </c>
      <c r="AA20" s="111">
        <f t="shared" si="1"/>
        <v>-1.2700000000000001E-2</v>
      </c>
      <c r="AB20" s="111">
        <f t="shared" si="1"/>
        <v>7.1000000000000004E-3</v>
      </c>
      <c r="AC20" s="112">
        <f>O20-N20</f>
        <v>2.5400000000000002E-2</v>
      </c>
    </row>
    <row r="21" spans="1:29" x14ac:dyDescent="0.2">
      <c r="A21" s="101">
        <v>43101</v>
      </c>
      <c r="B21" s="102">
        <v>75.885834000000003</v>
      </c>
      <c r="C21" s="102">
        <v>66.335220000000007</v>
      </c>
      <c r="D21" s="102">
        <v>45.954765000000002</v>
      </c>
      <c r="E21" s="102">
        <v>48.018920999999999</v>
      </c>
      <c r="F21" s="102">
        <v>260.01025399999997</v>
      </c>
      <c r="G21" s="102">
        <v>87.008385000000004</v>
      </c>
      <c r="H21" s="82"/>
      <c r="I21" s="103">
        <v>-6.0299999999999999E-2</v>
      </c>
      <c r="J21" s="103">
        <v>-1.6E-2</v>
      </c>
      <c r="K21" s="103">
        <v>-2.63E-2</v>
      </c>
      <c r="L21" s="103">
        <v>2.0400000000000001E-2</v>
      </c>
      <c r="M21" s="103">
        <v>6.1800000000000001E-2</v>
      </c>
      <c r="N21" s="103">
        <v>2.8999999999999998E-3</v>
      </c>
      <c r="O21" s="104">
        <f>SUMPRODUCT($I$16:$M$16,I21:M21)</f>
        <v>-4.080000000000002E-3</v>
      </c>
      <c r="P21" s="82"/>
      <c r="Q21" s="105">
        <v>-40.56</v>
      </c>
      <c r="R21" s="105">
        <v>24.71</v>
      </c>
      <c r="S21" s="105">
        <v>41.72</v>
      </c>
      <c r="T21" s="105">
        <v>7.39</v>
      </c>
      <c r="U21" s="105">
        <v>69.17</v>
      </c>
      <c r="V21" s="105">
        <v>2.82</v>
      </c>
      <c r="W21" s="82"/>
      <c r="X21" s="111">
        <f t="shared" ref="X21:X78" si="2">I21-$N21</f>
        <v>-6.3200000000000006E-2</v>
      </c>
      <c r="Y21" s="111">
        <f t="shared" si="1"/>
        <v>-1.89E-2</v>
      </c>
      <c r="Z21" s="111">
        <f t="shared" si="1"/>
        <v>-2.92E-2</v>
      </c>
      <c r="AA21" s="111">
        <f t="shared" si="1"/>
        <v>1.7500000000000002E-2</v>
      </c>
      <c r="AB21" s="111">
        <f t="shared" si="1"/>
        <v>5.8900000000000001E-2</v>
      </c>
      <c r="AC21" s="112">
        <f t="shared" ref="AC21:AC78" si="3">O21-N21</f>
        <v>-6.9800000000000018E-3</v>
      </c>
    </row>
    <row r="22" spans="1:29" x14ac:dyDescent="0.2">
      <c r="A22" s="101">
        <v>43132</v>
      </c>
      <c r="B22" s="102">
        <v>69.538818000000006</v>
      </c>
      <c r="C22" s="102">
        <v>61.946091000000003</v>
      </c>
      <c r="D22" s="102">
        <v>46.274619999999999</v>
      </c>
      <c r="E22" s="102">
        <v>43.877749999999999</v>
      </c>
      <c r="F22" s="102">
        <v>250.55619799999999</v>
      </c>
      <c r="G22" s="102">
        <v>86.998885999999999</v>
      </c>
      <c r="H22" s="82"/>
      <c r="I22" s="103">
        <v>-8.3599999999999994E-2</v>
      </c>
      <c r="J22" s="103">
        <v>-6.6199999999999995E-2</v>
      </c>
      <c r="K22" s="103">
        <v>7.0000000000000001E-3</v>
      </c>
      <c r="L22" s="103">
        <v>-8.6199999999999999E-2</v>
      </c>
      <c r="M22" s="103">
        <v>-3.6400000000000002E-2</v>
      </c>
      <c r="N22" s="103">
        <v>-1E-4</v>
      </c>
      <c r="O22" s="104">
        <f>SUMPRODUCT($I$16:$M$16,I22:M22)</f>
        <v>-5.3080000000000009E-2</v>
      </c>
      <c r="P22" s="82"/>
      <c r="Q22" s="105">
        <v>-120.81</v>
      </c>
      <c r="R22" s="105">
        <v>-43.09</v>
      </c>
      <c r="S22" s="105">
        <v>48.97</v>
      </c>
      <c r="T22" s="105">
        <v>-79.489999999999995</v>
      </c>
      <c r="U22" s="105">
        <v>30.3</v>
      </c>
      <c r="V22" s="105">
        <v>2.72</v>
      </c>
      <c r="W22" s="82"/>
      <c r="X22" s="111">
        <f t="shared" si="2"/>
        <v>-8.3499999999999991E-2</v>
      </c>
      <c r="Y22" s="111">
        <f t="shared" si="1"/>
        <v>-6.6099999999999992E-2</v>
      </c>
      <c r="Z22" s="111">
        <f t="shared" si="1"/>
        <v>7.1000000000000004E-3</v>
      </c>
      <c r="AA22" s="111">
        <f t="shared" si="1"/>
        <v>-8.6099999999999996E-2</v>
      </c>
      <c r="AB22" s="111">
        <f t="shared" si="1"/>
        <v>-3.6299999999999999E-2</v>
      </c>
      <c r="AC22" s="112">
        <f t="shared" si="3"/>
        <v>-5.2980000000000006E-2</v>
      </c>
    </row>
    <row r="23" spans="1:29" x14ac:dyDescent="0.2">
      <c r="A23" s="101">
        <v>43160</v>
      </c>
      <c r="B23" s="102">
        <v>70.211876000000004</v>
      </c>
      <c r="C23" s="102">
        <v>64.380088999999998</v>
      </c>
      <c r="D23" s="102">
        <v>47.588557999999999</v>
      </c>
      <c r="E23" s="102">
        <v>47.642876000000001</v>
      </c>
      <c r="F23" s="102">
        <v>242.716217</v>
      </c>
      <c r="G23" s="102">
        <v>87.118781999999996</v>
      </c>
      <c r="H23" s="82"/>
      <c r="I23" s="103">
        <v>9.7000000000000003E-3</v>
      </c>
      <c r="J23" s="103">
        <v>3.9300000000000002E-2</v>
      </c>
      <c r="K23" s="103">
        <v>2.8400000000000002E-2</v>
      </c>
      <c r="L23" s="103">
        <v>8.5800000000000001E-2</v>
      </c>
      <c r="M23" s="103">
        <v>-3.1300000000000001E-2</v>
      </c>
      <c r="N23" s="103">
        <v>1.4E-3</v>
      </c>
      <c r="O23" s="104">
        <f>SUMPRODUCT($I$16:$M$16,I23:M23)</f>
        <v>2.6380000000000001E-2</v>
      </c>
      <c r="P23" s="82"/>
      <c r="Q23" s="105">
        <v>-112.3</v>
      </c>
      <c r="R23" s="105">
        <v>-5.5</v>
      </c>
      <c r="S23" s="105">
        <v>78.760000000000005</v>
      </c>
      <c r="T23" s="105">
        <v>-0.5</v>
      </c>
      <c r="U23" s="105">
        <v>-1.94</v>
      </c>
      <c r="V23" s="105">
        <v>4.0999999999999996</v>
      </c>
      <c r="W23" s="82"/>
      <c r="X23" s="111">
        <f t="shared" si="2"/>
        <v>8.3000000000000001E-3</v>
      </c>
      <c r="Y23" s="111">
        <f t="shared" si="1"/>
        <v>3.7900000000000003E-2</v>
      </c>
      <c r="Z23" s="111">
        <f t="shared" si="1"/>
        <v>2.7000000000000003E-2</v>
      </c>
      <c r="AA23" s="111">
        <f t="shared" si="1"/>
        <v>8.4400000000000003E-2</v>
      </c>
      <c r="AB23" s="111">
        <f t="shared" si="1"/>
        <v>-3.27E-2</v>
      </c>
      <c r="AC23" s="112">
        <f t="shared" si="3"/>
        <v>2.4980000000000002E-2</v>
      </c>
    </row>
    <row r="24" spans="1:29" x14ac:dyDescent="0.2">
      <c r="A24" s="101">
        <v>43191</v>
      </c>
      <c r="B24" s="102">
        <v>64.065697</v>
      </c>
      <c r="C24" s="102">
        <v>58.586951999999997</v>
      </c>
      <c r="D24" s="102">
        <v>43.657490000000003</v>
      </c>
      <c r="E24" s="102">
        <v>47.994453</v>
      </c>
      <c r="F24" s="102">
        <v>244.94770800000001</v>
      </c>
      <c r="G24" s="102">
        <v>87.184532000000004</v>
      </c>
      <c r="H24" s="82"/>
      <c r="I24" s="103">
        <v>-8.7499999999999994E-2</v>
      </c>
      <c r="J24" s="103">
        <v>-0.09</v>
      </c>
      <c r="K24" s="103">
        <v>-8.2600000000000007E-2</v>
      </c>
      <c r="L24" s="103">
        <v>7.4000000000000003E-3</v>
      </c>
      <c r="M24" s="103">
        <v>9.1999999999999998E-3</v>
      </c>
      <c r="N24" s="103">
        <v>8.0000000000000004E-4</v>
      </c>
      <c r="O24" s="104">
        <f>SUMPRODUCT($I$16:$M$16,I24:M24)</f>
        <v>-4.8699999999999993E-2</v>
      </c>
      <c r="P24" s="82"/>
      <c r="Q24" s="105">
        <v>-190</v>
      </c>
      <c r="R24" s="105">
        <v>-94.98</v>
      </c>
      <c r="S24" s="105">
        <v>-10.35</v>
      </c>
      <c r="T24" s="105">
        <v>6.88</v>
      </c>
      <c r="U24" s="105">
        <v>7.23</v>
      </c>
      <c r="V24" s="105">
        <v>4.8499999999999996</v>
      </c>
      <c r="W24" s="82"/>
      <c r="X24" s="111">
        <f t="shared" si="2"/>
        <v>-8.829999999999999E-2</v>
      </c>
      <c r="Y24" s="111">
        <f t="shared" si="1"/>
        <v>-9.0799999999999992E-2</v>
      </c>
      <c r="Z24" s="111">
        <f t="shared" si="1"/>
        <v>-8.3400000000000002E-2</v>
      </c>
      <c r="AA24" s="111">
        <f t="shared" si="1"/>
        <v>6.6E-3</v>
      </c>
      <c r="AB24" s="111">
        <f t="shared" si="1"/>
        <v>8.3999999999999995E-3</v>
      </c>
      <c r="AC24" s="112">
        <f t="shared" si="3"/>
        <v>-4.9499999999999995E-2</v>
      </c>
    </row>
    <row r="25" spans="1:29" x14ac:dyDescent="0.2">
      <c r="A25" s="101">
        <v>43221</v>
      </c>
      <c r="B25" s="102">
        <v>65.400397999999996</v>
      </c>
      <c r="C25" s="102">
        <v>56.997008999999998</v>
      </c>
      <c r="D25" s="102">
        <v>44.366219000000001</v>
      </c>
      <c r="E25" s="102">
        <v>47.402779000000002</v>
      </c>
      <c r="F25" s="102">
        <v>250.90222199999999</v>
      </c>
      <c r="G25" s="102">
        <v>87.313231999999999</v>
      </c>
      <c r="H25" s="82"/>
      <c r="I25" s="103">
        <v>2.0799999999999999E-2</v>
      </c>
      <c r="J25" s="103">
        <v>-2.7099999999999999E-2</v>
      </c>
      <c r="K25" s="103">
        <v>1.6199999999999999E-2</v>
      </c>
      <c r="L25" s="103">
        <v>-1.23E-2</v>
      </c>
      <c r="M25" s="103">
        <v>2.4299999999999999E-2</v>
      </c>
      <c r="N25" s="103">
        <v>1.5E-3</v>
      </c>
      <c r="O25" s="104">
        <f>SUMPRODUCT($I$16:$M$16,I25:M25)</f>
        <v>4.3799999999999985E-3</v>
      </c>
      <c r="P25" s="82"/>
      <c r="Q25" s="105">
        <v>-173.13</v>
      </c>
      <c r="R25" s="105">
        <v>-119.54</v>
      </c>
      <c r="S25" s="105">
        <v>5.71</v>
      </c>
      <c r="T25" s="105">
        <v>-5.54</v>
      </c>
      <c r="U25" s="105">
        <v>31.72</v>
      </c>
      <c r="V25" s="105">
        <v>6.34</v>
      </c>
      <c r="W25" s="82"/>
      <c r="X25" s="111">
        <f t="shared" si="2"/>
        <v>1.9299999999999998E-2</v>
      </c>
      <c r="Y25" s="111">
        <f t="shared" si="1"/>
        <v>-2.86E-2</v>
      </c>
      <c r="Z25" s="111">
        <f t="shared" si="1"/>
        <v>1.47E-2</v>
      </c>
      <c r="AA25" s="111">
        <f t="shared" si="1"/>
        <v>-1.38E-2</v>
      </c>
      <c r="AB25" s="111">
        <f t="shared" si="1"/>
        <v>2.2799999999999997E-2</v>
      </c>
      <c r="AC25" s="112">
        <f t="shared" si="3"/>
        <v>2.8799999999999984E-3</v>
      </c>
    </row>
    <row r="26" spans="1:29" x14ac:dyDescent="0.2">
      <c r="A26" s="101">
        <v>43252</v>
      </c>
      <c r="B26" s="102">
        <v>69.771148999999994</v>
      </c>
      <c r="C26" s="102">
        <v>58.550896000000002</v>
      </c>
      <c r="D26" s="102">
        <v>50.466278000000003</v>
      </c>
      <c r="E26" s="102">
        <v>47.828854</v>
      </c>
      <c r="F26" s="102">
        <v>251.216949</v>
      </c>
      <c r="G26" s="102">
        <v>87.424957000000006</v>
      </c>
      <c r="H26" s="82"/>
      <c r="I26" s="103">
        <v>6.6799999999999998E-2</v>
      </c>
      <c r="J26" s="103">
        <v>2.7300000000000001E-2</v>
      </c>
      <c r="K26" s="103">
        <v>0.13750000000000001</v>
      </c>
      <c r="L26" s="103">
        <v>8.9999999999999993E-3</v>
      </c>
      <c r="M26" s="103">
        <v>1.2999999999999999E-3</v>
      </c>
      <c r="N26" s="103">
        <v>1.2999999999999999E-3</v>
      </c>
      <c r="O26" s="104">
        <f>SUMPRODUCT($I$16:$M$16,I26:M26)</f>
        <v>4.8380000000000006E-2</v>
      </c>
      <c r="P26" s="82"/>
      <c r="Q26" s="105">
        <v>-117.87</v>
      </c>
      <c r="R26" s="105">
        <v>-95.54</v>
      </c>
      <c r="S26" s="105">
        <v>143.99</v>
      </c>
      <c r="T26" s="105">
        <v>3.4</v>
      </c>
      <c r="U26" s="105">
        <v>33.01</v>
      </c>
      <c r="V26" s="105">
        <v>7.63</v>
      </c>
      <c r="W26" s="82"/>
      <c r="X26" s="111">
        <f t="shared" si="2"/>
        <v>6.5500000000000003E-2</v>
      </c>
      <c r="Y26" s="111">
        <f t="shared" si="1"/>
        <v>2.6000000000000002E-2</v>
      </c>
      <c r="Z26" s="111">
        <f t="shared" si="1"/>
        <v>0.13620000000000002</v>
      </c>
      <c r="AA26" s="111">
        <f t="shared" si="1"/>
        <v>7.6999999999999994E-3</v>
      </c>
      <c r="AB26" s="111">
        <f t="shared" si="1"/>
        <v>0</v>
      </c>
      <c r="AC26" s="112">
        <f t="shared" si="3"/>
        <v>4.7080000000000004E-2</v>
      </c>
    </row>
    <row r="27" spans="1:29" x14ac:dyDescent="0.2">
      <c r="A27" s="101">
        <v>43282</v>
      </c>
      <c r="B27" s="102">
        <v>72.291702000000001</v>
      </c>
      <c r="C27" s="102">
        <v>60.538437000000002</v>
      </c>
      <c r="D27" s="102">
        <v>53.067436000000001</v>
      </c>
      <c r="E27" s="102">
        <v>49.325671999999997</v>
      </c>
      <c r="F27" s="102">
        <v>261.69360399999999</v>
      </c>
      <c r="G27" s="102">
        <v>87.545433000000003</v>
      </c>
      <c r="H27" s="82"/>
      <c r="I27" s="103">
        <v>3.61E-2</v>
      </c>
      <c r="J27" s="103">
        <v>3.39E-2</v>
      </c>
      <c r="K27" s="103">
        <v>5.1499999999999997E-2</v>
      </c>
      <c r="L27" s="103">
        <v>3.1300000000000001E-2</v>
      </c>
      <c r="M27" s="103">
        <v>4.1700000000000001E-2</v>
      </c>
      <c r="N27" s="103">
        <v>1.4E-3</v>
      </c>
      <c r="O27" s="104">
        <f>SUMPRODUCT($I$16:$M$16,I27:M27)</f>
        <v>3.8900000000000004E-2</v>
      </c>
      <c r="P27" s="82"/>
      <c r="Q27" s="105">
        <v>-86</v>
      </c>
      <c r="R27" s="105">
        <v>-64.84</v>
      </c>
      <c r="S27" s="105">
        <v>202.95</v>
      </c>
      <c r="T27" s="105">
        <v>34.799999999999997</v>
      </c>
      <c r="U27" s="105">
        <v>76.09</v>
      </c>
      <c r="V27" s="105">
        <v>9.01</v>
      </c>
      <c r="W27" s="82"/>
      <c r="X27" s="111">
        <f t="shared" si="2"/>
        <v>3.4700000000000002E-2</v>
      </c>
      <c r="Y27" s="111">
        <f t="shared" si="1"/>
        <v>3.2500000000000001E-2</v>
      </c>
      <c r="Z27" s="111">
        <f t="shared" si="1"/>
        <v>5.0099999999999999E-2</v>
      </c>
      <c r="AA27" s="111">
        <f t="shared" si="1"/>
        <v>2.9900000000000003E-2</v>
      </c>
      <c r="AB27" s="111">
        <f t="shared" si="1"/>
        <v>4.0300000000000002E-2</v>
      </c>
      <c r="AC27" s="112">
        <f t="shared" si="3"/>
        <v>3.7500000000000006E-2</v>
      </c>
    </row>
    <row r="28" spans="1:29" x14ac:dyDescent="0.2">
      <c r="A28" s="101">
        <v>43313</v>
      </c>
      <c r="B28" s="102">
        <v>74.814774</v>
      </c>
      <c r="C28" s="102">
        <v>60.382857999999999</v>
      </c>
      <c r="D28" s="102">
        <v>53.712975</v>
      </c>
      <c r="E28" s="102">
        <v>49.204540000000001</v>
      </c>
      <c r="F28" s="102">
        <v>270.04684400000002</v>
      </c>
      <c r="G28" s="102">
        <v>87.676581999999996</v>
      </c>
      <c r="H28" s="82"/>
      <c r="I28" s="103">
        <v>3.49E-2</v>
      </c>
      <c r="J28" s="103">
        <v>-2.5999999999999999E-3</v>
      </c>
      <c r="K28" s="103">
        <v>1.2200000000000001E-2</v>
      </c>
      <c r="L28" s="103">
        <v>-2.5000000000000001E-3</v>
      </c>
      <c r="M28" s="103">
        <v>3.1899999999999998E-2</v>
      </c>
      <c r="N28" s="103">
        <v>1.5E-3</v>
      </c>
      <c r="O28" s="104">
        <f>SUMPRODUCT($I$16:$M$16,I28:M28)</f>
        <v>1.4780000000000001E-2</v>
      </c>
      <c r="P28" s="82"/>
      <c r="Q28" s="105">
        <v>-54.1</v>
      </c>
      <c r="R28" s="105">
        <v>-67.239999999999995</v>
      </c>
      <c r="S28" s="105">
        <v>217.59</v>
      </c>
      <c r="T28" s="105">
        <v>32.26</v>
      </c>
      <c r="U28" s="105">
        <v>110.44</v>
      </c>
      <c r="V28" s="105">
        <v>10.53</v>
      </c>
      <c r="W28" s="82"/>
      <c r="X28" s="111">
        <f t="shared" si="2"/>
        <v>3.3399999999999999E-2</v>
      </c>
      <c r="Y28" s="111">
        <f t="shared" si="1"/>
        <v>-4.0999999999999995E-3</v>
      </c>
      <c r="Z28" s="111">
        <f t="shared" si="1"/>
        <v>1.0700000000000001E-2</v>
      </c>
      <c r="AA28" s="111">
        <f t="shared" si="1"/>
        <v>-4.0000000000000001E-3</v>
      </c>
      <c r="AB28" s="111">
        <f t="shared" si="1"/>
        <v>3.0399999999999996E-2</v>
      </c>
      <c r="AC28" s="112">
        <f t="shared" si="3"/>
        <v>1.3280000000000002E-2</v>
      </c>
    </row>
    <row r="29" spans="1:29" x14ac:dyDescent="0.2">
      <c r="A29" s="101">
        <v>43344</v>
      </c>
      <c r="B29" s="102">
        <v>75.067336999999995</v>
      </c>
      <c r="C29" s="102">
        <v>60.873848000000002</v>
      </c>
      <c r="D29" s="102">
        <v>56.582301999999999</v>
      </c>
      <c r="E29" s="102">
        <v>47.941578</v>
      </c>
      <c r="F29" s="102">
        <v>270.42828400000002</v>
      </c>
      <c r="G29" s="102">
        <v>87.796417000000005</v>
      </c>
      <c r="H29" s="82"/>
      <c r="I29" s="103">
        <v>3.3999999999999998E-3</v>
      </c>
      <c r="J29" s="103">
        <v>8.0999999999999996E-3</v>
      </c>
      <c r="K29" s="103">
        <v>5.3400000000000003E-2</v>
      </c>
      <c r="L29" s="103">
        <v>-2.5700000000000001E-2</v>
      </c>
      <c r="M29" s="103">
        <v>1.4E-3</v>
      </c>
      <c r="N29" s="103">
        <v>1.4E-3</v>
      </c>
      <c r="O29" s="104">
        <f>SUMPRODUCT($I$16:$M$16,I29:M29)</f>
        <v>8.1200000000000022E-3</v>
      </c>
      <c r="P29" s="82"/>
      <c r="Q29" s="105">
        <v>-50.91</v>
      </c>
      <c r="R29" s="105">
        <v>-59.66</v>
      </c>
      <c r="S29" s="105">
        <v>282.63</v>
      </c>
      <c r="T29" s="105">
        <v>5.77</v>
      </c>
      <c r="U29" s="105">
        <v>112.01</v>
      </c>
      <c r="V29" s="105">
        <v>11.91</v>
      </c>
      <c r="W29" s="82"/>
      <c r="X29" s="111">
        <f t="shared" si="2"/>
        <v>2E-3</v>
      </c>
      <c r="Y29" s="111">
        <f t="shared" si="1"/>
        <v>6.6999999999999994E-3</v>
      </c>
      <c r="Z29" s="111">
        <f t="shared" si="1"/>
        <v>5.2000000000000005E-2</v>
      </c>
      <c r="AA29" s="111">
        <f t="shared" si="1"/>
        <v>-2.7099999999999999E-2</v>
      </c>
      <c r="AB29" s="111">
        <f t="shared" si="1"/>
        <v>0</v>
      </c>
      <c r="AC29" s="112">
        <f t="shared" si="3"/>
        <v>6.720000000000002E-3</v>
      </c>
    </row>
    <row r="30" spans="1:29" x14ac:dyDescent="0.2">
      <c r="A30" s="101">
        <v>43374</v>
      </c>
      <c r="B30" s="102">
        <v>79.982826000000003</v>
      </c>
      <c r="C30" s="102">
        <v>54.145434999999999</v>
      </c>
      <c r="D30" s="102">
        <v>56.582301999999999</v>
      </c>
      <c r="E30" s="102">
        <v>46.206020000000002</v>
      </c>
      <c r="F30" s="102">
        <v>252.88002</v>
      </c>
      <c r="G30" s="102">
        <v>87.938507000000001</v>
      </c>
      <c r="H30" s="82"/>
      <c r="I30" s="103">
        <v>6.5500000000000003E-2</v>
      </c>
      <c r="J30" s="103">
        <v>-0.1105</v>
      </c>
      <c r="K30" s="103">
        <v>0</v>
      </c>
      <c r="L30" s="103">
        <v>-3.6200000000000003E-2</v>
      </c>
      <c r="M30" s="103">
        <v>-6.4899999999999999E-2</v>
      </c>
      <c r="N30" s="103">
        <v>1.6000000000000001E-3</v>
      </c>
      <c r="O30" s="104">
        <f>SUMPRODUCT($I$16:$M$16,I30:M30)</f>
        <v>-2.9220000000000003E-2</v>
      </c>
      <c r="P30" s="82"/>
      <c r="Q30" s="105">
        <v>11.24</v>
      </c>
      <c r="R30" s="105">
        <v>-163.59</v>
      </c>
      <c r="S30" s="105">
        <v>282.63</v>
      </c>
      <c r="T30" s="105">
        <v>-30.64</v>
      </c>
      <c r="U30" s="105">
        <v>39.85</v>
      </c>
      <c r="V30" s="105">
        <v>13.55</v>
      </c>
      <c r="W30" s="82"/>
      <c r="X30" s="111">
        <f t="shared" si="2"/>
        <v>6.3899999999999998E-2</v>
      </c>
      <c r="Y30" s="111">
        <f t="shared" si="1"/>
        <v>-0.11210000000000001</v>
      </c>
      <c r="Z30" s="111">
        <f t="shared" si="1"/>
        <v>-1.6000000000000001E-3</v>
      </c>
      <c r="AA30" s="111">
        <f t="shared" si="1"/>
        <v>-3.78E-2</v>
      </c>
      <c r="AB30" s="111">
        <f t="shared" si="1"/>
        <v>-6.6500000000000004E-2</v>
      </c>
      <c r="AC30" s="112">
        <f t="shared" si="3"/>
        <v>-3.0820000000000004E-2</v>
      </c>
    </row>
    <row r="31" spans="1:29" x14ac:dyDescent="0.2">
      <c r="A31" s="101">
        <v>43405</v>
      </c>
      <c r="B31" s="102">
        <v>85.994254999999995</v>
      </c>
      <c r="C31" s="102">
        <v>58.139384999999997</v>
      </c>
      <c r="D31" s="102">
        <v>63.082076999999998</v>
      </c>
      <c r="E31" s="102">
        <v>47.348529999999997</v>
      </c>
      <c r="F31" s="102">
        <v>257.57086199999998</v>
      </c>
      <c r="G31" s="102">
        <v>88.098167000000004</v>
      </c>
      <c r="H31" s="82"/>
      <c r="I31" s="103">
        <v>7.5200000000000003E-2</v>
      </c>
      <c r="J31" s="103">
        <v>7.3800000000000004E-2</v>
      </c>
      <c r="K31" s="103">
        <v>0.1149</v>
      </c>
      <c r="L31" s="103">
        <v>2.47E-2</v>
      </c>
      <c r="M31" s="103">
        <v>1.8499999999999999E-2</v>
      </c>
      <c r="N31" s="103">
        <v>1.8E-3</v>
      </c>
      <c r="O31" s="104">
        <f>SUMPRODUCT($I$16:$M$16,I31:M31)</f>
        <v>6.1420000000000009E-2</v>
      </c>
      <c r="P31" s="82"/>
      <c r="Q31" s="105">
        <v>87.24</v>
      </c>
      <c r="R31" s="105">
        <v>-101.9</v>
      </c>
      <c r="S31" s="105">
        <v>429.97</v>
      </c>
      <c r="T31" s="105">
        <v>-6.67</v>
      </c>
      <c r="U31" s="105">
        <v>59.14</v>
      </c>
      <c r="V31" s="105">
        <v>15.39</v>
      </c>
      <c r="W31" s="82"/>
      <c r="X31" s="111">
        <f t="shared" si="2"/>
        <v>7.3400000000000007E-2</v>
      </c>
      <c r="Y31" s="111">
        <f t="shared" si="1"/>
        <v>7.2000000000000008E-2</v>
      </c>
      <c r="Z31" s="111">
        <f t="shared" si="1"/>
        <v>0.11310000000000001</v>
      </c>
      <c r="AA31" s="111">
        <f t="shared" si="1"/>
        <v>2.29E-2</v>
      </c>
      <c r="AB31" s="111">
        <f t="shared" si="1"/>
        <v>1.67E-2</v>
      </c>
      <c r="AC31" s="112">
        <f t="shared" si="3"/>
        <v>5.9620000000000006E-2</v>
      </c>
    </row>
    <row r="32" spans="1:29" x14ac:dyDescent="0.2">
      <c r="A32" s="101">
        <v>43435</v>
      </c>
      <c r="B32" s="102">
        <v>83.637611000000007</v>
      </c>
      <c r="C32" s="102">
        <v>54.478206999999998</v>
      </c>
      <c r="D32" s="102">
        <v>62.881428</v>
      </c>
      <c r="E32" s="102">
        <v>45.958843000000002</v>
      </c>
      <c r="F32" s="102">
        <v>233.52835099999999</v>
      </c>
      <c r="G32" s="102">
        <v>88.098206000000005</v>
      </c>
      <c r="H32" s="82"/>
      <c r="I32" s="103">
        <v>-2.7400000000000001E-2</v>
      </c>
      <c r="J32" s="103">
        <v>-6.3E-2</v>
      </c>
      <c r="K32" s="103">
        <v>-3.2000000000000002E-3</v>
      </c>
      <c r="L32" s="103">
        <v>-2.9399999999999999E-2</v>
      </c>
      <c r="M32" s="103">
        <v>-9.3299999999999994E-2</v>
      </c>
      <c r="N32" s="103">
        <v>0</v>
      </c>
      <c r="O32" s="104">
        <f>SUMPRODUCT($I$16:$M$16,I32:M32)</f>
        <v>-4.326E-2</v>
      </c>
      <c r="P32" s="82"/>
      <c r="Q32" s="105">
        <v>57.45</v>
      </c>
      <c r="R32" s="105">
        <v>-158.44999999999999</v>
      </c>
      <c r="S32" s="105">
        <v>425.42</v>
      </c>
      <c r="T32" s="105">
        <v>-35.83</v>
      </c>
      <c r="U32" s="105">
        <v>-39.72</v>
      </c>
      <c r="V32" s="105">
        <v>15.39</v>
      </c>
      <c r="W32" s="82"/>
      <c r="X32" s="111">
        <f t="shared" si="2"/>
        <v>-2.7400000000000001E-2</v>
      </c>
      <c r="Y32" s="111">
        <f t="shared" si="1"/>
        <v>-6.3E-2</v>
      </c>
      <c r="Z32" s="111">
        <f t="shared" si="1"/>
        <v>-3.2000000000000002E-3</v>
      </c>
      <c r="AA32" s="111">
        <f t="shared" si="1"/>
        <v>-2.9399999999999999E-2</v>
      </c>
      <c r="AB32" s="111">
        <f t="shared" si="1"/>
        <v>-9.3299999999999994E-2</v>
      </c>
      <c r="AC32" s="112">
        <f t="shared" si="3"/>
        <v>-4.326E-2</v>
      </c>
    </row>
    <row r="33" spans="1:29" x14ac:dyDescent="0.2">
      <c r="A33" s="101">
        <v>43466</v>
      </c>
      <c r="B33" s="102">
        <v>87.777671999999995</v>
      </c>
      <c r="C33" s="102">
        <v>59.201121999999998</v>
      </c>
      <c r="D33" s="102">
        <v>61.781765</v>
      </c>
      <c r="E33" s="102">
        <v>46.266708000000001</v>
      </c>
      <c r="F33" s="102">
        <v>253.69880699999999</v>
      </c>
      <c r="G33" s="102">
        <v>88.558623999999995</v>
      </c>
      <c r="H33" s="82"/>
      <c r="I33" s="103">
        <v>4.9500000000000002E-2</v>
      </c>
      <c r="J33" s="103">
        <v>8.6699999999999999E-2</v>
      </c>
      <c r="K33" s="103">
        <v>-1.7500000000000002E-2</v>
      </c>
      <c r="L33" s="103">
        <v>6.7000000000000002E-3</v>
      </c>
      <c r="M33" s="103">
        <v>8.6400000000000005E-2</v>
      </c>
      <c r="N33" s="103">
        <v>5.1999999999999998E-3</v>
      </c>
      <c r="O33" s="104">
        <f>SUMPRODUCT($I$16:$M$16,I33:M33)</f>
        <v>4.2360000000000002E-2</v>
      </c>
      <c r="P33" s="82"/>
      <c r="Q33" s="105">
        <v>109.79</v>
      </c>
      <c r="R33" s="105">
        <v>-85.5</v>
      </c>
      <c r="S33" s="105">
        <v>400.49</v>
      </c>
      <c r="T33" s="105">
        <v>-29.37</v>
      </c>
      <c r="U33" s="105">
        <v>43.22</v>
      </c>
      <c r="V33" s="105">
        <v>20.69</v>
      </c>
      <c r="W33" s="82"/>
      <c r="X33" s="111">
        <f t="shared" si="2"/>
        <v>4.4300000000000006E-2</v>
      </c>
      <c r="Y33" s="111">
        <f t="shared" si="1"/>
        <v>8.1500000000000003E-2</v>
      </c>
      <c r="Z33" s="111">
        <f t="shared" si="1"/>
        <v>-2.2700000000000001E-2</v>
      </c>
      <c r="AA33" s="111">
        <f t="shared" si="1"/>
        <v>1.5000000000000005E-3</v>
      </c>
      <c r="AB33" s="111">
        <f t="shared" si="1"/>
        <v>8.1200000000000008E-2</v>
      </c>
      <c r="AC33" s="112">
        <f t="shared" si="3"/>
        <v>3.7159999999999999E-2</v>
      </c>
    </row>
    <row r="34" spans="1:29" x14ac:dyDescent="0.2">
      <c r="A34" s="101">
        <v>43497</v>
      </c>
      <c r="B34" s="102">
        <v>90.379463000000001</v>
      </c>
      <c r="C34" s="102">
        <v>60.697372000000001</v>
      </c>
      <c r="D34" s="102">
        <v>62.919670000000004</v>
      </c>
      <c r="E34" s="102">
        <v>46.820861999999998</v>
      </c>
      <c r="F34" s="102">
        <v>261.922729</v>
      </c>
      <c r="G34" s="102">
        <v>88.548935</v>
      </c>
      <c r="H34" s="82"/>
      <c r="I34" s="103">
        <v>2.9600000000000001E-2</v>
      </c>
      <c r="J34" s="103">
        <v>2.53E-2</v>
      </c>
      <c r="K34" s="103">
        <v>1.84E-2</v>
      </c>
      <c r="L34" s="103">
        <v>1.2E-2</v>
      </c>
      <c r="M34" s="103">
        <v>3.2399999999999998E-2</v>
      </c>
      <c r="N34" s="103">
        <v>-1E-4</v>
      </c>
      <c r="O34" s="104">
        <f>SUMPRODUCT($I$16:$M$16,I34:M34)</f>
        <v>2.3539999999999998E-2</v>
      </c>
      <c r="P34" s="82"/>
      <c r="Q34" s="105">
        <v>142.69</v>
      </c>
      <c r="R34" s="105">
        <v>-62.38</v>
      </c>
      <c r="S34" s="105">
        <v>426.29</v>
      </c>
      <c r="T34" s="105">
        <v>-17.739999999999998</v>
      </c>
      <c r="U34" s="105">
        <v>77.03</v>
      </c>
      <c r="V34" s="105">
        <v>20.58</v>
      </c>
      <c r="W34" s="82"/>
      <c r="X34" s="111">
        <f t="shared" si="2"/>
        <v>2.9700000000000001E-2</v>
      </c>
      <c r="Y34" s="111">
        <f t="shared" si="1"/>
        <v>2.5399999999999999E-2</v>
      </c>
      <c r="Z34" s="111">
        <f t="shared" si="1"/>
        <v>1.8499999999999999E-2</v>
      </c>
      <c r="AA34" s="111">
        <f t="shared" si="1"/>
        <v>1.21E-2</v>
      </c>
      <c r="AB34" s="111">
        <f t="shared" si="1"/>
        <v>3.2500000000000001E-2</v>
      </c>
      <c r="AC34" s="112">
        <f t="shared" si="3"/>
        <v>2.3639999999999998E-2</v>
      </c>
    </row>
    <row r="35" spans="1:29" x14ac:dyDescent="0.2">
      <c r="A35" s="101">
        <v>43525</v>
      </c>
      <c r="B35" s="102">
        <v>95.423477000000005</v>
      </c>
      <c r="C35" s="102">
        <v>63.157699999999998</v>
      </c>
      <c r="D35" s="102">
        <v>68.352408999999994</v>
      </c>
      <c r="E35" s="102">
        <v>51.183292000000002</v>
      </c>
      <c r="F35" s="102">
        <v>265.49423200000001</v>
      </c>
      <c r="G35" s="102">
        <v>88.712592999999998</v>
      </c>
      <c r="H35" s="82"/>
      <c r="I35" s="103">
        <v>5.5800000000000002E-2</v>
      </c>
      <c r="J35" s="103">
        <v>4.0500000000000001E-2</v>
      </c>
      <c r="K35" s="103">
        <v>8.6300000000000002E-2</v>
      </c>
      <c r="L35" s="103">
        <v>9.3200000000000005E-2</v>
      </c>
      <c r="M35" s="103">
        <v>1.3599999999999999E-2</v>
      </c>
      <c r="N35" s="103">
        <v>1.8E-3</v>
      </c>
      <c r="O35" s="104">
        <f>SUMPRODUCT($I$16:$M$16,I35:M35)</f>
        <v>5.7880000000000001E-2</v>
      </c>
      <c r="P35" s="82"/>
      <c r="Q35" s="105">
        <v>206.46</v>
      </c>
      <c r="R35" s="105">
        <v>-24.38</v>
      </c>
      <c r="S35" s="105">
        <v>549.44000000000005</v>
      </c>
      <c r="T35" s="105">
        <v>73.78</v>
      </c>
      <c r="U35" s="105">
        <v>91.72</v>
      </c>
      <c r="V35" s="105">
        <v>22.47</v>
      </c>
      <c r="W35" s="82"/>
      <c r="X35" s="111">
        <f t="shared" si="2"/>
        <v>5.3999999999999999E-2</v>
      </c>
      <c r="Y35" s="111">
        <f t="shared" si="1"/>
        <v>3.8699999999999998E-2</v>
      </c>
      <c r="Z35" s="111">
        <f t="shared" si="1"/>
        <v>8.4500000000000006E-2</v>
      </c>
      <c r="AA35" s="111">
        <f t="shared" si="1"/>
        <v>9.1400000000000009E-2</v>
      </c>
      <c r="AB35" s="111">
        <f t="shared" si="1"/>
        <v>1.18E-2</v>
      </c>
      <c r="AC35" s="112">
        <f t="shared" si="3"/>
        <v>5.6079999999999998E-2</v>
      </c>
    </row>
    <row r="36" spans="1:29" x14ac:dyDescent="0.2">
      <c r="A36" s="101">
        <v>43556</v>
      </c>
      <c r="B36" s="102">
        <v>97.652016000000003</v>
      </c>
      <c r="C36" s="102">
        <v>67.073943999999997</v>
      </c>
      <c r="D36" s="102">
        <v>71.922141999999994</v>
      </c>
      <c r="E36" s="102">
        <v>53.914482</v>
      </c>
      <c r="F36" s="102">
        <v>277.55746499999998</v>
      </c>
      <c r="G36" s="102">
        <v>88.877517999999995</v>
      </c>
      <c r="H36" s="82"/>
      <c r="I36" s="103">
        <v>2.3400000000000001E-2</v>
      </c>
      <c r="J36" s="103">
        <v>6.2E-2</v>
      </c>
      <c r="K36" s="103">
        <v>5.2200000000000003E-2</v>
      </c>
      <c r="L36" s="103">
        <v>5.3400000000000003E-2</v>
      </c>
      <c r="M36" s="103">
        <v>4.5400000000000003E-2</v>
      </c>
      <c r="N36" s="103">
        <v>1.9E-3</v>
      </c>
      <c r="O36" s="104">
        <f>SUMPRODUCT($I$16:$M$16,I36:M36)</f>
        <v>4.7280000000000003E-2</v>
      </c>
      <c r="P36" s="82"/>
      <c r="Q36" s="105">
        <v>234.63</v>
      </c>
      <c r="R36" s="105">
        <v>36.119999999999997</v>
      </c>
      <c r="S36" s="105">
        <v>630.36</v>
      </c>
      <c r="T36" s="105">
        <v>131.07</v>
      </c>
      <c r="U36" s="105">
        <v>141.33000000000001</v>
      </c>
      <c r="V36" s="105">
        <v>24.37</v>
      </c>
      <c r="W36" s="82"/>
      <c r="X36" s="111">
        <f t="shared" si="2"/>
        <v>2.1500000000000002E-2</v>
      </c>
      <c r="Y36" s="111">
        <f t="shared" ref="Y36:Y78" si="4">J36-$N36</f>
        <v>6.0100000000000001E-2</v>
      </c>
      <c r="Z36" s="111">
        <f t="shared" ref="Z36:Z78" si="5">K36-$N36</f>
        <v>5.0300000000000004E-2</v>
      </c>
      <c r="AA36" s="111">
        <f t="shared" ref="AA36:AA78" si="6">L36-$N36</f>
        <v>5.1500000000000004E-2</v>
      </c>
      <c r="AB36" s="111">
        <f t="shared" ref="AB36:AB78" si="7">M36-$N36</f>
        <v>4.3500000000000004E-2</v>
      </c>
      <c r="AC36" s="112">
        <f t="shared" si="3"/>
        <v>4.5380000000000004E-2</v>
      </c>
    </row>
    <row r="37" spans="1:29" x14ac:dyDescent="0.2">
      <c r="A37" s="101">
        <v>43586</v>
      </c>
      <c r="B37" s="102">
        <v>95.044250000000005</v>
      </c>
      <c r="C37" s="102">
        <v>64.554946999999999</v>
      </c>
      <c r="D37" s="102">
        <v>71.403946000000005</v>
      </c>
      <c r="E37" s="102">
        <v>54.012028000000001</v>
      </c>
      <c r="F37" s="102">
        <v>259.85730000000001</v>
      </c>
      <c r="G37" s="102">
        <v>89.068084999999996</v>
      </c>
      <c r="H37" s="82"/>
      <c r="I37" s="103">
        <v>-2.6700000000000002E-2</v>
      </c>
      <c r="J37" s="103">
        <v>-3.7600000000000001E-2</v>
      </c>
      <c r="K37" s="103">
        <v>-7.1999999999999998E-3</v>
      </c>
      <c r="L37" s="103">
        <v>1.8E-3</v>
      </c>
      <c r="M37" s="103">
        <v>-6.3799999999999996E-2</v>
      </c>
      <c r="N37" s="103">
        <v>2.0999999999999999E-3</v>
      </c>
      <c r="O37" s="104">
        <f>SUMPRODUCT($I$16:$M$16,I37:M37)</f>
        <v>-2.6700000000000002E-2</v>
      </c>
      <c r="P37" s="82"/>
      <c r="Q37" s="105">
        <v>201.66</v>
      </c>
      <c r="R37" s="105">
        <v>-2.79</v>
      </c>
      <c r="S37" s="105">
        <v>618.61</v>
      </c>
      <c r="T37" s="105">
        <v>133.12</v>
      </c>
      <c r="U37" s="105">
        <v>68.540000000000006</v>
      </c>
      <c r="V37" s="105">
        <v>26.56</v>
      </c>
      <c r="W37" s="82"/>
      <c r="X37" s="111">
        <f t="shared" si="2"/>
        <v>-2.8800000000000003E-2</v>
      </c>
      <c r="Y37" s="111">
        <f t="shared" si="4"/>
        <v>-3.9699999999999999E-2</v>
      </c>
      <c r="Z37" s="111">
        <f t="shared" si="5"/>
        <v>-9.2999999999999992E-3</v>
      </c>
      <c r="AA37" s="111">
        <f t="shared" si="6"/>
        <v>-2.9999999999999992E-4</v>
      </c>
      <c r="AB37" s="111">
        <f t="shared" si="7"/>
        <v>-6.59E-2</v>
      </c>
      <c r="AC37" s="112">
        <f t="shared" si="3"/>
        <v>-2.8800000000000003E-2</v>
      </c>
    </row>
    <row r="38" spans="1:29" x14ac:dyDescent="0.2">
      <c r="A38" s="101">
        <v>43617</v>
      </c>
      <c r="B38" s="102">
        <v>101.269096</v>
      </c>
      <c r="C38" s="102">
        <v>66.455787999999998</v>
      </c>
      <c r="D38" s="102">
        <v>70.325432000000006</v>
      </c>
      <c r="E38" s="102">
        <v>55.378470999999998</v>
      </c>
      <c r="F38" s="102">
        <v>276.59463499999998</v>
      </c>
      <c r="G38" s="102">
        <v>89.227836999999994</v>
      </c>
      <c r="H38" s="82"/>
      <c r="I38" s="103">
        <v>6.5500000000000003E-2</v>
      </c>
      <c r="J38" s="103">
        <v>2.9399999999999999E-2</v>
      </c>
      <c r="K38" s="103">
        <v>-1.5100000000000001E-2</v>
      </c>
      <c r="L38" s="103">
        <v>2.53E-2</v>
      </c>
      <c r="M38" s="103">
        <v>6.4399999999999999E-2</v>
      </c>
      <c r="N38" s="103">
        <v>1.8E-3</v>
      </c>
      <c r="O38" s="104">
        <f>SUMPRODUCT($I$16:$M$16,I38:M38)</f>
        <v>3.3900000000000007E-2</v>
      </c>
      <c r="P38" s="82"/>
      <c r="Q38" s="105">
        <v>280.37</v>
      </c>
      <c r="R38" s="105">
        <v>26.57</v>
      </c>
      <c r="S38" s="105">
        <v>594.16999999999996</v>
      </c>
      <c r="T38" s="105">
        <v>161.79</v>
      </c>
      <c r="U38" s="105">
        <v>137.37</v>
      </c>
      <c r="V38" s="105">
        <v>28.41</v>
      </c>
      <c r="W38" s="82"/>
      <c r="X38" s="111">
        <f t="shared" si="2"/>
        <v>6.3700000000000007E-2</v>
      </c>
      <c r="Y38" s="111">
        <f t="shared" si="4"/>
        <v>2.76E-2</v>
      </c>
      <c r="Z38" s="111">
        <f t="shared" si="5"/>
        <v>-1.6900000000000002E-2</v>
      </c>
      <c r="AA38" s="111">
        <f t="shared" si="6"/>
        <v>2.35E-2</v>
      </c>
      <c r="AB38" s="111">
        <f t="shared" si="7"/>
        <v>6.2600000000000003E-2</v>
      </c>
      <c r="AC38" s="112">
        <f t="shared" si="3"/>
        <v>3.2100000000000004E-2</v>
      </c>
    </row>
    <row r="39" spans="1:29" x14ac:dyDescent="0.2">
      <c r="A39" s="101">
        <v>43647</v>
      </c>
      <c r="B39" s="102">
        <v>109.01783</v>
      </c>
      <c r="C39" s="102">
        <v>66.520706000000004</v>
      </c>
      <c r="D39" s="102">
        <v>72.616332999999997</v>
      </c>
      <c r="E39" s="102">
        <v>53.725242999999999</v>
      </c>
      <c r="F39" s="102">
        <v>282.14211999999998</v>
      </c>
      <c r="G39" s="102">
        <v>89.399574000000001</v>
      </c>
      <c r="H39" s="82"/>
      <c r="I39" s="103">
        <v>7.6499999999999999E-2</v>
      </c>
      <c r="J39" s="103">
        <v>1E-3</v>
      </c>
      <c r="K39" s="103">
        <v>3.2599999999999997E-2</v>
      </c>
      <c r="L39" s="103">
        <v>-2.9899999999999999E-2</v>
      </c>
      <c r="M39" s="103">
        <v>2.01E-2</v>
      </c>
      <c r="N39" s="103">
        <v>1.9E-3</v>
      </c>
      <c r="O39" s="104">
        <f>SUMPRODUCT($I$16:$M$16,I39:M39)</f>
        <v>2.0060000000000001E-2</v>
      </c>
      <c r="P39" s="82"/>
      <c r="Q39" s="105">
        <v>378.33</v>
      </c>
      <c r="R39" s="105">
        <v>27.57</v>
      </c>
      <c r="S39" s="105">
        <v>646.1</v>
      </c>
      <c r="T39" s="105">
        <v>127.1</v>
      </c>
      <c r="U39" s="105">
        <v>160.18</v>
      </c>
      <c r="V39" s="105">
        <v>30.38</v>
      </c>
      <c r="W39" s="82"/>
      <c r="X39" s="111">
        <f t="shared" si="2"/>
        <v>7.46E-2</v>
      </c>
      <c r="Y39" s="111">
        <f t="shared" si="4"/>
        <v>-8.9999999999999998E-4</v>
      </c>
      <c r="Z39" s="111">
        <f t="shared" si="5"/>
        <v>3.0699999999999998E-2</v>
      </c>
      <c r="AA39" s="111">
        <f t="shared" si="6"/>
        <v>-3.1800000000000002E-2</v>
      </c>
      <c r="AB39" s="111">
        <f t="shared" si="7"/>
        <v>1.8200000000000001E-2</v>
      </c>
      <c r="AC39" s="112">
        <f t="shared" si="3"/>
        <v>1.8160000000000003E-2</v>
      </c>
    </row>
    <row r="40" spans="1:29" x14ac:dyDescent="0.2">
      <c r="A40" s="101">
        <v>43678</v>
      </c>
      <c r="B40" s="102">
        <v>111.759529</v>
      </c>
      <c r="C40" s="102">
        <v>69.154526000000004</v>
      </c>
      <c r="D40" s="102">
        <v>76.793892</v>
      </c>
      <c r="E40" s="102">
        <v>56.459766000000002</v>
      </c>
      <c r="F40" s="102">
        <v>277.41815200000002</v>
      </c>
      <c r="G40" s="102">
        <v>89.560890000000001</v>
      </c>
      <c r="H40" s="82"/>
      <c r="I40" s="103">
        <v>2.5100000000000001E-2</v>
      </c>
      <c r="J40" s="103">
        <v>3.9600000000000003E-2</v>
      </c>
      <c r="K40" s="103">
        <v>5.7500000000000002E-2</v>
      </c>
      <c r="L40" s="103">
        <v>5.0900000000000001E-2</v>
      </c>
      <c r="M40" s="103">
        <v>-1.67E-2</v>
      </c>
      <c r="N40" s="103">
        <v>1.8E-3</v>
      </c>
      <c r="O40" s="104">
        <f>SUMPRODUCT($I$16:$M$16,I40:M40)</f>
        <v>3.1280000000000002E-2</v>
      </c>
      <c r="P40" s="82"/>
      <c r="Q40" s="105">
        <v>413</v>
      </c>
      <c r="R40" s="105">
        <v>68.260000000000005</v>
      </c>
      <c r="S40" s="105">
        <v>740.8</v>
      </c>
      <c r="T40" s="105">
        <v>184.47</v>
      </c>
      <c r="U40" s="105">
        <v>140.75</v>
      </c>
      <c r="V40" s="105">
        <v>32.24</v>
      </c>
      <c r="W40" s="82"/>
      <c r="X40" s="111">
        <f t="shared" si="2"/>
        <v>2.3300000000000001E-2</v>
      </c>
      <c r="Y40" s="111">
        <f t="shared" si="4"/>
        <v>3.78E-2</v>
      </c>
      <c r="Z40" s="111">
        <f t="shared" si="5"/>
        <v>5.57E-2</v>
      </c>
      <c r="AA40" s="111">
        <f t="shared" si="6"/>
        <v>4.9099999999999998E-2</v>
      </c>
      <c r="AB40" s="111">
        <f t="shared" si="7"/>
        <v>-1.8499999999999999E-2</v>
      </c>
      <c r="AC40" s="112">
        <f t="shared" si="3"/>
        <v>2.9480000000000003E-2</v>
      </c>
    </row>
    <row r="41" spans="1:29" x14ac:dyDescent="0.2">
      <c r="A41" s="101">
        <v>43709</v>
      </c>
      <c r="B41" s="102">
        <v>115.617149</v>
      </c>
      <c r="C41" s="102">
        <v>68.557640000000006</v>
      </c>
      <c r="D41" s="102">
        <v>72.634979000000001</v>
      </c>
      <c r="E41" s="102">
        <v>54.125689999999999</v>
      </c>
      <c r="F41" s="102">
        <v>281.516052</v>
      </c>
      <c r="G41" s="102">
        <v>89.693100000000001</v>
      </c>
      <c r="H41" s="82"/>
      <c r="I41" s="103">
        <v>3.4500000000000003E-2</v>
      </c>
      <c r="J41" s="103">
        <v>-8.6E-3</v>
      </c>
      <c r="K41" s="103">
        <v>-5.4199999999999998E-2</v>
      </c>
      <c r="L41" s="103">
        <v>-4.1300000000000003E-2</v>
      </c>
      <c r="M41" s="103">
        <v>1.4800000000000001E-2</v>
      </c>
      <c r="N41" s="103">
        <v>1.5E-3</v>
      </c>
      <c r="O41" s="104">
        <f>SUMPRODUCT($I$16:$M$16,I41:M41)</f>
        <v>-1.0960000000000001E-2</v>
      </c>
      <c r="P41" s="82"/>
      <c r="Q41" s="105">
        <v>461.77</v>
      </c>
      <c r="R41" s="105">
        <v>59.04</v>
      </c>
      <c r="S41" s="105">
        <v>646.52</v>
      </c>
      <c r="T41" s="105">
        <v>135.5</v>
      </c>
      <c r="U41" s="105">
        <v>157.6</v>
      </c>
      <c r="V41" s="105">
        <v>33.770000000000003</v>
      </c>
      <c r="W41" s="82"/>
      <c r="X41" s="111">
        <f t="shared" si="2"/>
        <v>3.3000000000000002E-2</v>
      </c>
      <c r="Y41" s="111">
        <f t="shared" si="4"/>
        <v>-1.01E-2</v>
      </c>
      <c r="Z41" s="111">
        <f t="shared" si="5"/>
        <v>-5.57E-2</v>
      </c>
      <c r="AA41" s="111">
        <f t="shared" si="6"/>
        <v>-4.2800000000000005E-2</v>
      </c>
      <c r="AB41" s="111">
        <f t="shared" si="7"/>
        <v>1.3300000000000001E-2</v>
      </c>
      <c r="AC41" s="112">
        <f t="shared" si="3"/>
        <v>-1.2460000000000001E-2</v>
      </c>
    </row>
    <row r="42" spans="1:29" x14ac:dyDescent="0.2">
      <c r="A42" s="101">
        <v>43739</v>
      </c>
      <c r="B42" s="102">
        <v>115.737999</v>
      </c>
      <c r="C42" s="102">
        <v>63.978416000000003</v>
      </c>
      <c r="D42" s="102">
        <v>67.518485999999996</v>
      </c>
      <c r="E42" s="102">
        <v>54.134692999999999</v>
      </c>
      <c r="F42" s="102">
        <v>289.06768799999998</v>
      </c>
      <c r="G42" s="102">
        <v>89.867683</v>
      </c>
      <c r="H42" s="82"/>
      <c r="I42" s="103">
        <v>1E-3</v>
      </c>
      <c r="J42" s="103">
        <v>-6.6799999999999998E-2</v>
      </c>
      <c r="K42" s="103">
        <v>-7.0400000000000004E-2</v>
      </c>
      <c r="L42" s="103">
        <v>2.0000000000000001E-4</v>
      </c>
      <c r="M42" s="103">
        <v>2.6800000000000001E-2</v>
      </c>
      <c r="N42" s="103">
        <v>1.9E-3</v>
      </c>
      <c r="O42" s="104">
        <f>SUMPRODUCT($I$16:$M$16,I42:M42)</f>
        <v>-2.1840000000000002E-2</v>
      </c>
      <c r="P42" s="82"/>
      <c r="Q42" s="105">
        <v>463.3</v>
      </c>
      <c r="R42" s="105">
        <v>-11.7</v>
      </c>
      <c r="S42" s="105">
        <v>530.54</v>
      </c>
      <c r="T42" s="105">
        <v>135.69</v>
      </c>
      <c r="U42" s="105">
        <v>188.66</v>
      </c>
      <c r="V42" s="105">
        <v>35.78</v>
      </c>
      <c r="W42" s="82"/>
      <c r="X42" s="111">
        <f t="shared" si="2"/>
        <v>-8.9999999999999998E-4</v>
      </c>
      <c r="Y42" s="111">
        <f t="shared" si="4"/>
        <v>-6.8699999999999997E-2</v>
      </c>
      <c r="Z42" s="111">
        <f t="shared" si="5"/>
        <v>-7.2300000000000003E-2</v>
      </c>
      <c r="AA42" s="111">
        <f t="shared" si="6"/>
        <v>-1.6999999999999999E-3</v>
      </c>
      <c r="AB42" s="111">
        <f t="shared" si="7"/>
        <v>2.4900000000000002E-2</v>
      </c>
      <c r="AC42" s="112">
        <f t="shared" si="3"/>
        <v>-2.3740000000000001E-2</v>
      </c>
    </row>
    <row r="43" spans="1:29" x14ac:dyDescent="0.2">
      <c r="A43" s="101">
        <v>43770</v>
      </c>
      <c r="B43" s="102">
        <v>114.18536400000001</v>
      </c>
      <c r="C43" s="102">
        <v>63.651702999999998</v>
      </c>
      <c r="D43" s="102">
        <v>67.808090000000007</v>
      </c>
      <c r="E43" s="102">
        <v>53.981910999999997</v>
      </c>
      <c r="F43" s="102">
        <v>299.53140300000001</v>
      </c>
      <c r="G43" s="102">
        <v>89.963013000000004</v>
      </c>
      <c r="H43" s="82"/>
      <c r="I43" s="103">
        <v>-1.34E-2</v>
      </c>
      <c r="J43" s="103">
        <v>-5.1000000000000004E-3</v>
      </c>
      <c r="K43" s="103">
        <v>4.3E-3</v>
      </c>
      <c r="L43" s="103">
        <v>-2.8E-3</v>
      </c>
      <c r="M43" s="103">
        <v>3.6200000000000003E-2</v>
      </c>
      <c r="N43" s="103">
        <v>1.1000000000000001E-3</v>
      </c>
      <c r="O43" s="104">
        <f>SUMPRODUCT($I$16:$M$16,I43:M43)</f>
        <v>3.8400000000000005E-3</v>
      </c>
      <c r="P43" s="82"/>
      <c r="Q43" s="105">
        <v>443.67</v>
      </c>
      <c r="R43" s="105">
        <v>-16.75</v>
      </c>
      <c r="S43" s="105">
        <v>537.1</v>
      </c>
      <c r="T43" s="105">
        <v>132.49</v>
      </c>
      <c r="U43" s="105">
        <v>231.68</v>
      </c>
      <c r="V43" s="105">
        <v>36.880000000000003</v>
      </c>
      <c r="W43" s="82"/>
      <c r="X43" s="111">
        <f t="shared" si="2"/>
        <v>-1.4500000000000001E-2</v>
      </c>
      <c r="Y43" s="111">
        <f t="shared" si="4"/>
        <v>-6.2000000000000006E-3</v>
      </c>
      <c r="Z43" s="111">
        <f t="shared" si="5"/>
        <v>3.1999999999999997E-3</v>
      </c>
      <c r="AA43" s="111">
        <f t="shared" si="6"/>
        <v>-3.8999999999999998E-3</v>
      </c>
      <c r="AB43" s="111">
        <f t="shared" si="7"/>
        <v>3.5100000000000006E-2</v>
      </c>
      <c r="AC43" s="112">
        <f t="shared" si="3"/>
        <v>2.7400000000000002E-3</v>
      </c>
    </row>
    <row r="44" spans="1:29" x14ac:dyDescent="0.2">
      <c r="A44" s="101">
        <v>43800</v>
      </c>
      <c r="B44" s="102">
        <v>116.84215500000001</v>
      </c>
      <c r="C44" s="102">
        <v>64.609009</v>
      </c>
      <c r="D44" s="102">
        <v>68.141509999999997</v>
      </c>
      <c r="E44" s="102">
        <v>51.876708999999998</v>
      </c>
      <c r="F44" s="102">
        <v>306.72644000000003</v>
      </c>
      <c r="G44" s="102">
        <v>89.971817000000001</v>
      </c>
      <c r="H44" s="82"/>
      <c r="I44" s="103">
        <v>2.3300000000000001E-2</v>
      </c>
      <c r="J44" s="103">
        <v>1.4999999999999999E-2</v>
      </c>
      <c r="K44" s="103">
        <v>4.8999999999999998E-3</v>
      </c>
      <c r="L44" s="103">
        <v>-3.9E-2</v>
      </c>
      <c r="M44" s="103">
        <v>2.4E-2</v>
      </c>
      <c r="N44" s="103">
        <v>1E-4</v>
      </c>
      <c r="O44" s="104">
        <f>SUMPRODUCT($I$16:$M$16,I44:M44)</f>
        <v>5.64E-3</v>
      </c>
      <c r="P44" s="82"/>
      <c r="Q44" s="105">
        <v>477.26</v>
      </c>
      <c r="R44" s="105">
        <v>-1.96</v>
      </c>
      <c r="S44" s="105">
        <v>544.66</v>
      </c>
      <c r="T44" s="105">
        <v>88.32</v>
      </c>
      <c r="U44" s="105">
        <v>261.27</v>
      </c>
      <c r="V44" s="105">
        <v>36.979999999999997</v>
      </c>
      <c r="W44" s="82"/>
      <c r="X44" s="111">
        <f t="shared" si="2"/>
        <v>2.3200000000000002E-2</v>
      </c>
      <c r="Y44" s="111">
        <f t="shared" si="4"/>
        <v>1.49E-2</v>
      </c>
      <c r="Z44" s="111">
        <f t="shared" si="5"/>
        <v>4.7999999999999996E-3</v>
      </c>
      <c r="AA44" s="111">
        <f t="shared" si="6"/>
        <v>-3.9100000000000003E-2</v>
      </c>
      <c r="AB44" s="111">
        <f t="shared" si="7"/>
        <v>2.3900000000000001E-2</v>
      </c>
      <c r="AC44" s="112">
        <f t="shared" si="3"/>
        <v>5.5399999999999998E-3</v>
      </c>
    </row>
    <row r="45" spans="1:29" x14ac:dyDescent="0.2">
      <c r="A45" s="101">
        <v>43831</v>
      </c>
      <c r="B45" s="102">
        <v>116.580208</v>
      </c>
      <c r="C45" s="102">
        <v>69.245391999999995</v>
      </c>
      <c r="D45" s="102">
        <v>71.890022000000002</v>
      </c>
      <c r="E45" s="102">
        <v>54.235984999999999</v>
      </c>
      <c r="F45" s="102">
        <v>308.10995500000001</v>
      </c>
      <c r="G45" s="102">
        <v>90.308800000000005</v>
      </c>
      <c r="H45" s="82"/>
      <c r="I45" s="103">
        <v>-2.2000000000000001E-3</v>
      </c>
      <c r="J45" s="103">
        <v>7.1800000000000003E-2</v>
      </c>
      <c r="K45" s="103">
        <v>5.5E-2</v>
      </c>
      <c r="L45" s="103">
        <v>4.5499999999999999E-2</v>
      </c>
      <c r="M45" s="103">
        <v>4.4999999999999997E-3</v>
      </c>
      <c r="N45" s="103">
        <v>3.7000000000000002E-3</v>
      </c>
      <c r="O45" s="104">
        <f>SUMPRODUCT($I$16:$M$16,I45:M45)</f>
        <v>3.4920000000000007E-2</v>
      </c>
      <c r="P45" s="82"/>
      <c r="Q45" s="105">
        <v>473.95</v>
      </c>
      <c r="R45" s="105">
        <v>69.66</v>
      </c>
      <c r="S45" s="105">
        <v>629.63</v>
      </c>
      <c r="T45" s="105">
        <v>137.82</v>
      </c>
      <c r="U45" s="105">
        <v>266.95999999999998</v>
      </c>
      <c r="V45" s="105">
        <v>40.86</v>
      </c>
      <c r="W45" s="82"/>
      <c r="X45" s="111">
        <f t="shared" si="2"/>
        <v>-5.9000000000000007E-3</v>
      </c>
      <c r="Y45" s="111">
        <f t="shared" si="4"/>
        <v>6.8100000000000008E-2</v>
      </c>
      <c r="Z45" s="111">
        <f t="shared" si="5"/>
        <v>5.1299999999999998E-2</v>
      </c>
      <c r="AA45" s="111">
        <f t="shared" si="6"/>
        <v>4.1799999999999997E-2</v>
      </c>
      <c r="AB45" s="111">
        <f t="shared" si="7"/>
        <v>7.999999999999995E-4</v>
      </c>
      <c r="AC45" s="112">
        <f t="shared" si="3"/>
        <v>3.1220000000000005E-2</v>
      </c>
    </row>
    <row r="46" spans="1:29" x14ac:dyDescent="0.2">
      <c r="A46" s="101">
        <v>43862</v>
      </c>
      <c r="B46" s="102">
        <v>106.55435900000001</v>
      </c>
      <c r="C46" s="102">
        <v>63.801903000000003</v>
      </c>
      <c r="D46" s="102">
        <v>67.337563000000003</v>
      </c>
      <c r="E46" s="102">
        <v>48.936691000000003</v>
      </c>
      <c r="F46" s="102">
        <v>283.71820100000002</v>
      </c>
      <c r="G46" s="102">
        <v>90.308800000000005</v>
      </c>
      <c r="H46" s="82"/>
      <c r="I46" s="103">
        <v>-8.5999999999999993E-2</v>
      </c>
      <c r="J46" s="103">
        <v>-7.8600000000000003E-2</v>
      </c>
      <c r="K46" s="103">
        <v>-6.3299999999999995E-2</v>
      </c>
      <c r="L46" s="103">
        <v>-9.7699999999999995E-2</v>
      </c>
      <c r="M46" s="103">
        <v>-7.9200000000000007E-2</v>
      </c>
      <c r="N46" s="103">
        <v>0</v>
      </c>
      <c r="O46" s="104">
        <f>SUMPRODUCT($I$16:$M$16,I46:M46)</f>
        <v>-8.0960000000000018E-2</v>
      </c>
      <c r="P46" s="82"/>
      <c r="Q46" s="105">
        <v>347.19</v>
      </c>
      <c r="R46" s="105">
        <v>-14.43</v>
      </c>
      <c r="S46" s="105">
        <v>526.44000000000005</v>
      </c>
      <c r="T46" s="105">
        <v>26.64</v>
      </c>
      <c r="U46" s="105">
        <v>166.66</v>
      </c>
      <c r="V46" s="105">
        <v>40.86</v>
      </c>
      <c r="W46" s="82"/>
      <c r="X46" s="111">
        <f t="shared" si="2"/>
        <v>-8.5999999999999993E-2</v>
      </c>
      <c r="Y46" s="111">
        <f t="shared" si="4"/>
        <v>-7.8600000000000003E-2</v>
      </c>
      <c r="Z46" s="111">
        <f t="shared" si="5"/>
        <v>-6.3299999999999995E-2</v>
      </c>
      <c r="AA46" s="111">
        <f t="shared" si="6"/>
        <v>-9.7699999999999995E-2</v>
      </c>
      <c r="AB46" s="111">
        <f t="shared" si="7"/>
        <v>-7.9200000000000007E-2</v>
      </c>
      <c r="AC46" s="112">
        <f t="shared" si="3"/>
        <v>-8.0960000000000018E-2</v>
      </c>
    </row>
    <row r="47" spans="1:29" x14ac:dyDescent="0.2">
      <c r="A47" s="101">
        <v>43891</v>
      </c>
      <c r="B47" s="102">
        <v>103.51477800000001</v>
      </c>
      <c r="C47" s="102">
        <v>62.659370000000003</v>
      </c>
      <c r="D47" s="102">
        <v>62.36298</v>
      </c>
      <c r="E47" s="102">
        <v>46.236393</v>
      </c>
      <c r="F47" s="102">
        <v>246.83845500000001</v>
      </c>
      <c r="G47" s="102">
        <v>90.504356000000001</v>
      </c>
      <c r="H47" s="82"/>
      <c r="I47" s="103">
        <v>-2.8500000000000001E-2</v>
      </c>
      <c r="J47" s="103">
        <v>-1.7899999999999999E-2</v>
      </c>
      <c r="K47" s="103">
        <v>-7.3899999999999993E-2</v>
      </c>
      <c r="L47" s="103">
        <v>-5.5199999999999999E-2</v>
      </c>
      <c r="M47" s="103">
        <v>-0.13</v>
      </c>
      <c r="N47" s="103">
        <v>2.2000000000000001E-3</v>
      </c>
      <c r="O47" s="104">
        <f>SUMPRODUCT($I$16:$M$16,I47:M47)</f>
        <v>-6.1100000000000002E-2</v>
      </c>
      <c r="P47" s="82"/>
      <c r="Q47" s="105">
        <v>308.76</v>
      </c>
      <c r="R47" s="105">
        <v>-32.08</v>
      </c>
      <c r="S47" s="105">
        <v>413.67</v>
      </c>
      <c r="T47" s="105">
        <v>-30.01</v>
      </c>
      <c r="U47" s="105">
        <v>15.01</v>
      </c>
      <c r="V47" s="105">
        <v>43.12</v>
      </c>
      <c r="W47" s="82"/>
      <c r="X47" s="111">
        <f t="shared" si="2"/>
        <v>-3.0700000000000002E-2</v>
      </c>
      <c r="Y47" s="111">
        <f t="shared" si="4"/>
        <v>-2.01E-2</v>
      </c>
      <c r="Z47" s="111">
        <f t="shared" si="5"/>
        <v>-7.6099999999999987E-2</v>
      </c>
      <c r="AA47" s="111">
        <f t="shared" si="6"/>
        <v>-5.74E-2</v>
      </c>
      <c r="AB47" s="111">
        <f t="shared" si="7"/>
        <v>-0.13220000000000001</v>
      </c>
      <c r="AC47" s="112">
        <f t="shared" si="3"/>
        <v>-6.3299999999999995E-2</v>
      </c>
    </row>
    <row r="48" spans="1:29" x14ac:dyDescent="0.2">
      <c r="A48" s="101">
        <v>43922</v>
      </c>
      <c r="B48" s="102">
        <v>110.920799</v>
      </c>
      <c r="C48" s="102">
        <v>66.351333999999994</v>
      </c>
      <c r="D48" s="102">
        <v>68.008483999999996</v>
      </c>
      <c r="E48" s="102">
        <v>47.424995000000003</v>
      </c>
      <c r="F48" s="102">
        <v>279.81866500000001</v>
      </c>
      <c r="G48" s="102">
        <v>90.531150999999994</v>
      </c>
      <c r="H48" s="82"/>
      <c r="I48" s="103">
        <v>7.1499999999999994E-2</v>
      </c>
      <c r="J48" s="103">
        <v>5.8900000000000001E-2</v>
      </c>
      <c r="K48" s="103">
        <v>9.0499999999999997E-2</v>
      </c>
      <c r="L48" s="103">
        <v>2.5700000000000001E-2</v>
      </c>
      <c r="M48" s="103">
        <v>0.1336</v>
      </c>
      <c r="N48" s="103">
        <v>2.9999999999999997E-4</v>
      </c>
      <c r="O48" s="104">
        <f>SUMPRODUCT($I$16:$M$16,I48:M48)</f>
        <v>7.6039999999999996E-2</v>
      </c>
      <c r="P48" s="82"/>
      <c r="Q48" s="105">
        <v>402.39</v>
      </c>
      <c r="R48" s="105">
        <v>24.96</v>
      </c>
      <c r="S48" s="105">
        <v>541.64</v>
      </c>
      <c r="T48" s="105">
        <v>-5.07</v>
      </c>
      <c r="U48" s="105">
        <v>150.62</v>
      </c>
      <c r="V48" s="105">
        <v>43.43</v>
      </c>
      <c r="W48" s="82"/>
      <c r="X48" s="111">
        <f t="shared" si="2"/>
        <v>7.1199999999999999E-2</v>
      </c>
      <c r="Y48" s="111">
        <f t="shared" si="4"/>
        <v>5.8599999999999999E-2</v>
      </c>
      <c r="Z48" s="111">
        <f t="shared" si="5"/>
        <v>9.0200000000000002E-2</v>
      </c>
      <c r="AA48" s="111">
        <f t="shared" si="6"/>
        <v>2.5399999999999999E-2</v>
      </c>
      <c r="AB48" s="111">
        <f t="shared" si="7"/>
        <v>0.1333</v>
      </c>
      <c r="AC48" s="112">
        <f t="shared" si="3"/>
        <v>7.5740000000000002E-2</v>
      </c>
    </row>
    <row r="49" spans="1:29" x14ac:dyDescent="0.2">
      <c r="A49" s="101">
        <v>43952</v>
      </c>
      <c r="B49" s="102">
        <v>109.813248</v>
      </c>
      <c r="C49" s="102">
        <v>68.711510000000004</v>
      </c>
      <c r="D49" s="102">
        <v>72.944678999999994</v>
      </c>
      <c r="E49" s="102">
        <v>49.418182000000002</v>
      </c>
      <c r="F49" s="102">
        <v>293.15069599999998</v>
      </c>
      <c r="G49" s="102">
        <v>90.552879000000004</v>
      </c>
      <c r="H49" s="82"/>
      <c r="I49" s="103">
        <v>-0.01</v>
      </c>
      <c r="J49" s="103">
        <v>3.56E-2</v>
      </c>
      <c r="K49" s="103">
        <v>7.2599999999999998E-2</v>
      </c>
      <c r="L49" s="103">
        <v>4.2000000000000003E-2</v>
      </c>
      <c r="M49" s="103">
        <v>4.7600000000000003E-2</v>
      </c>
      <c r="N49" s="103">
        <v>2.0000000000000001E-4</v>
      </c>
      <c r="O49" s="104">
        <f>SUMPRODUCT($I$16:$M$16,I49:M49)</f>
        <v>3.7560000000000003E-2</v>
      </c>
      <c r="P49" s="82"/>
      <c r="Q49" s="105">
        <v>388.39</v>
      </c>
      <c r="R49" s="105">
        <v>61.41</v>
      </c>
      <c r="S49" s="105">
        <v>653.54</v>
      </c>
      <c r="T49" s="105">
        <v>36.75</v>
      </c>
      <c r="U49" s="105">
        <v>205.45</v>
      </c>
      <c r="V49" s="105">
        <v>43.68</v>
      </c>
      <c r="W49" s="82"/>
      <c r="X49" s="111">
        <f t="shared" si="2"/>
        <v>-1.0200000000000001E-2</v>
      </c>
      <c r="Y49" s="111">
        <f t="shared" si="4"/>
        <v>3.5400000000000001E-2</v>
      </c>
      <c r="Z49" s="111">
        <f t="shared" si="5"/>
        <v>7.2399999999999992E-2</v>
      </c>
      <c r="AA49" s="111">
        <f t="shared" si="6"/>
        <v>4.1800000000000004E-2</v>
      </c>
      <c r="AB49" s="111">
        <f t="shared" si="7"/>
        <v>4.7400000000000005E-2</v>
      </c>
      <c r="AC49" s="112">
        <f t="shared" si="3"/>
        <v>3.7360000000000004E-2</v>
      </c>
    </row>
    <row r="50" spans="1:29" x14ac:dyDescent="0.2">
      <c r="A50" s="101">
        <v>43983</v>
      </c>
      <c r="B50" s="102">
        <v>113.270966</v>
      </c>
      <c r="C50" s="102">
        <v>69.594994</v>
      </c>
      <c r="D50" s="102">
        <v>75.357765000000001</v>
      </c>
      <c r="E50" s="102">
        <v>50.612015</v>
      </c>
      <c r="F50" s="102">
        <v>297.04238900000001</v>
      </c>
      <c r="G50" s="102">
        <v>90.566727</v>
      </c>
      <c r="H50" s="82"/>
      <c r="I50" s="103">
        <v>3.15E-2</v>
      </c>
      <c r="J50" s="103">
        <v>1.29E-2</v>
      </c>
      <c r="K50" s="103">
        <v>3.3099999999999997E-2</v>
      </c>
      <c r="L50" s="103">
        <v>2.4199999999999999E-2</v>
      </c>
      <c r="M50" s="103">
        <v>1.3299999999999999E-2</v>
      </c>
      <c r="N50" s="103">
        <v>2.0000000000000001E-4</v>
      </c>
      <c r="O50" s="104">
        <f>SUMPRODUCT($I$16:$M$16,I50:M50)</f>
        <v>2.3E-2</v>
      </c>
      <c r="P50" s="82"/>
      <c r="Q50" s="105">
        <v>432.11</v>
      </c>
      <c r="R50" s="105">
        <v>75.06</v>
      </c>
      <c r="S50" s="105">
        <v>708.24</v>
      </c>
      <c r="T50" s="105">
        <v>61.79</v>
      </c>
      <c r="U50" s="105">
        <v>221.45</v>
      </c>
      <c r="V50" s="105">
        <v>43.84</v>
      </c>
      <c r="W50" s="82"/>
      <c r="X50" s="111">
        <f t="shared" si="2"/>
        <v>3.1300000000000001E-2</v>
      </c>
      <c r="Y50" s="111">
        <f t="shared" si="4"/>
        <v>1.2699999999999999E-2</v>
      </c>
      <c r="Z50" s="111">
        <f t="shared" si="5"/>
        <v>3.2899999999999999E-2</v>
      </c>
      <c r="AA50" s="111">
        <f t="shared" si="6"/>
        <v>2.4E-2</v>
      </c>
      <c r="AB50" s="111">
        <f t="shared" si="7"/>
        <v>1.3099999999999999E-2</v>
      </c>
      <c r="AC50" s="112">
        <f t="shared" si="3"/>
        <v>2.2800000000000001E-2</v>
      </c>
    </row>
    <row r="51" spans="1:29" x14ac:dyDescent="0.2">
      <c r="A51" s="101">
        <v>44013</v>
      </c>
      <c r="B51" s="102">
        <v>124.212509</v>
      </c>
      <c r="C51" s="102">
        <v>73.337890999999999</v>
      </c>
      <c r="D51" s="102">
        <v>93.909644999999998</v>
      </c>
      <c r="E51" s="102">
        <v>55.776508</v>
      </c>
      <c r="F51" s="102">
        <v>315.920074</v>
      </c>
      <c r="G51" s="102">
        <v>90.576622</v>
      </c>
      <c r="H51" s="82"/>
      <c r="I51" s="103">
        <v>9.6600000000000005E-2</v>
      </c>
      <c r="J51" s="103">
        <v>5.3800000000000001E-2</v>
      </c>
      <c r="K51" s="103">
        <v>0.2462</v>
      </c>
      <c r="L51" s="103">
        <v>0.10199999999999999</v>
      </c>
      <c r="M51" s="103">
        <v>6.3600000000000004E-2</v>
      </c>
      <c r="N51" s="103">
        <v>1E-4</v>
      </c>
      <c r="O51" s="104">
        <f>SUMPRODUCT($I$16:$M$16,I51:M51)</f>
        <v>0.11244000000000001</v>
      </c>
      <c r="P51" s="82"/>
      <c r="Q51" s="105">
        <v>570.44000000000005</v>
      </c>
      <c r="R51" s="105">
        <v>132.88</v>
      </c>
      <c r="S51" s="105">
        <v>1128.78</v>
      </c>
      <c r="T51" s="105">
        <v>170.14</v>
      </c>
      <c r="U51" s="105">
        <v>299.07</v>
      </c>
      <c r="V51" s="105">
        <v>43.95</v>
      </c>
      <c r="W51" s="82"/>
      <c r="X51" s="111">
        <f t="shared" si="2"/>
        <v>9.6500000000000002E-2</v>
      </c>
      <c r="Y51" s="111">
        <f t="shared" si="4"/>
        <v>5.3699999999999998E-2</v>
      </c>
      <c r="Z51" s="111">
        <f t="shared" si="5"/>
        <v>0.24610000000000001</v>
      </c>
      <c r="AA51" s="111">
        <f t="shared" si="6"/>
        <v>0.10189999999999999</v>
      </c>
      <c r="AB51" s="111">
        <f t="shared" si="7"/>
        <v>6.3500000000000001E-2</v>
      </c>
      <c r="AC51" s="112">
        <f t="shared" si="3"/>
        <v>0.11234000000000001</v>
      </c>
    </row>
    <row r="52" spans="1:29" x14ac:dyDescent="0.2">
      <c r="A52" s="101">
        <v>44044</v>
      </c>
      <c r="B52" s="102">
        <v>131.869598</v>
      </c>
      <c r="C52" s="102">
        <v>75.739288000000002</v>
      </c>
      <c r="D52" s="102">
        <v>93.422179999999997</v>
      </c>
      <c r="E52" s="102">
        <v>54.946503</v>
      </c>
      <c r="F52" s="102">
        <v>337.970215</v>
      </c>
      <c r="G52" s="102">
        <v>90.576622</v>
      </c>
      <c r="H52" s="82"/>
      <c r="I52" s="103">
        <v>6.1600000000000002E-2</v>
      </c>
      <c r="J52" s="103">
        <v>3.27E-2</v>
      </c>
      <c r="K52" s="103">
        <v>-5.1999999999999998E-3</v>
      </c>
      <c r="L52" s="103">
        <v>-1.49E-2</v>
      </c>
      <c r="M52" s="103">
        <v>6.9800000000000001E-2</v>
      </c>
      <c r="N52" s="103">
        <v>0</v>
      </c>
      <c r="O52" s="104">
        <f>SUMPRODUCT($I$16:$M$16,I52:M52)</f>
        <v>2.8800000000000003E-2</v>
      </c>
      <c r="P52" s="82"/>
      <c r="Q52" s="105">
        <v>667.25</v>
      </c>
      <c r="R52" s="105">
        <v>169.98</v>
      </c>
      <c r="S52" s="105">
        <v>1117.73</v>
      </c>
      <c r="T52" s="105">
        <v>152.72</v>
      </c>
      <c r="U52" s="105">
        <v>389.74</v>
      </c>
      <c r="V52" s="105">
        <v>43.95</v>
      </c>
      <c r="W52" s="82"/>
      <c r="X52" s="111">
        <f t="shared" si="2"/>
        <v>6.1600000000000002E-2</v>
      </c>
      <c r="Y52" s="111">
        <f t="shared" si="4"/>
        <v>3.27E-2</v>
      </c>
      <c r="Z52" s="111">
        <f t="shared" si="5"/>
        <v>-5.1999999999999998E-3</v>
      </c>
      <c r="AA52" s="111">
        <f t="shared" si="6"/>
        <v>-1.49E-2</v>
      </c>
      <c r="AB52" s="111">
        <f t="shared" si="7"/>
        <v>6.9800000000000001E-2</v>
      </c>
      <c r="AC52" s="112">
        <f t="shared" si="3"/>
        <v>2.8800000000000003E-2</v>
      </c>
    </row>
    <row r="53" spans="1:29" x14ac:dyDescent="0.2">
      <c r="A53" s="101">
        <v>44075</v>
      </c>
      <c r="B53" s="102">
        <v>132.498795</v>
      </c>
      <c r="C53" s="102">
        <v>73.723006999999996</v>
      </c>
      <c r="D53" s="102">
        <v>91.587249999999997</v>
      </c>
      <c r="E53" s="102">
        <v>57.322617000000001</v>
      </c>
      <c r="F53" s="102">
        <v>324.01840199999998</v>
      </c>
      <c r="G53" s="102">
        <v>90.556838999999997</v>
      </c>
      <c r="H53" s="82"/>
      <c r="I53" s="103">
        <v>4.7999999999999996E-3</v>
      </c>
      <c r="J53" s="103">
        <v>-2.6599999999999999E-2</v>
      </c>
      <c r="K53" s="103">
        <v>-1.9599999999999999E-2</v>
      </c>
      <c r="L53" s="103">
        <v>4.3200000000000002E-2</v>
      </c>
      <c r="M53" s="103">
        <v>-4.1300000000000003E-2</v>
      </c>
      <c r="N53" s="103">
        <v>-2.0000000000000001E-4</v>
      </c>
      <c r="O53" s="104">
        <f>SUMPRODUCT($I$16:$M$16,I53:M53)</f>
        <v>-7.9000000000000008E-3</v>
      </c>
      <c r="P53" s="82"/>
      <c r="Q53" s="105">
        <v>675.21</v>
      </c>
      <c r="R53" s="105">
        <v>138.83000000000001</v>
      </c>
      <c r="S53" s="105">
        <v>1076.1400000000001</v>
      </c>
      <c r="T53" s="105">
        <v>202.57</v>
      </c>
      <c r="U53" s="105">
        <v>332.37</v>
      </c>
      <c r="V53" s="105">
        <v>43.72</v>
      </c>
      <c r="W53" s="82"/>
      <c r="X53" s="111">
        <f t="shared" si="2"/>
        <v>4.9999999999999992E-3</v>
      </c>
      <c r="Y53" s="111">
        <f t="shared" si="4"/>
        <v>-2.64E-2</v>
      </c>
      <c r="Z53" s="111">
        <f t="shared" si="5"/>
        <v>-1.9400000000000001E-2</v>
      </c>
      <c r="AA53" s="111">
        <f t="shared" si="6"/>
        <v>4.3400000000000001E-2</v>
      </c>
      <c r="AB53" s="111">
        <f t="shared" si="7"/>
        <v>-4.1100000000000005E-2</v>
      </c>
      <c r="AC53" s="112">
        <f t="shared" si="3"/>
        <v>-7.7000000000000011E-3</v>
      </c>
    </row>
    <row r="54" spans="1:29" x14ac:dyDescent="0.2">
      <c r="A54" s="101">
        <v>44105</v>
      </c>
      <c r="B54" s="102">
        <v>130.69705200000001</v>
      </c>
      <c r="C54" s="102">
        <v>75.385727000000003</v>
      </c>
      <c r="D54" s="102">
        <v>86.387755999999996</v>
      </c>
      <c r="E54" s="102">
        <v>52.815249999999999</v>
      </c>
      <c r="F54" s="102">
        <v>317.20416299999999</v>
      </c>
      <c r="G54" s="102">
        <v>90.566727</v>
      </c>
      <c r="H54" s="82"/>
      <c r="I54" s="103">
        <v>-1.3599999999999999E-2</v>
      </c>
      <c r="J54" s="103">
        <v>2.2599999999999999E-2</v>
      </c>
      <c r="K54" s="103">
        <v>-5.6800000000000003E-2</v>
      </c>
      <c r="L54" s="103">
        <v>-7.8600000000000003E-2</v>
      </c>
      <c r="M54" s="103">
        <v>-2.1000000000000001E-2</v>
      </c>
      <c r="N54" s="103">
        <v>1E-4</v>
      </c>
      <c r="O54" s="104">
        <f>SUMPRODUCT($I$16:$M$16,I54:M54)</f>
        <v>-2.9480000000000006E-2</v>
      </c>
      <c r="P54" s="82"/>
      <c r="Q54" s="105">
        <v>652.42999999999995</v>
      </c>
      <c r="R54" s="105">
        <v>164.51</v>
      </c>
      <c r="S54" s="105">
        <v>958.27</v>
      </c>
      <c r="T54" s="105">
        <v>108.01</v>
      </c>
      <c r="U54" s="105">
        <v>304.35000000000002</v>
      </c>
      <c r="V54" s="105">
        <v>43.84</v>
      </c>
      <c r="W54" s="82"/>
      <c r="X54" s="111">
        <f t="shared" si="2"/>
        <v>-1.3699999999999999E-2</v>
      </c>
      <c r="Y54" s="111">
        <f t="shared" si="4"/>
        <v>2.2499999999999999E-2</v>
      </c>
      <c r="Z54" s="111">
        <f t="shared" si="5"/>
        <v>-5.6900000000000006E-2</v>
      </c>
      <c r="AA54" s="111">
        <f t="shared" si="6"/>
        <v>-7.8700000000000006E-2</v>
      </c>
      <c r="AB54" s="111">
        <f t="shared" si="7"/>
        <v>-2.1100000000000001E-2</v>
      </c>
      <c r="AC54" s="112">
        <f t="shared" si="3"/>
        <v>-2.9580000000000006E-2</v>
      </c>
    </row>
    <row r="55" spans="1:29" x14ac:dyDescent="0.2">
      <c r="A55" s="101">
        <v>44136</v>
      </c>
      <c r="B55" s="102">
        <v>133.11944600000001</v>
      </c>
      <c r="C55" s="102">
        <v>82.287345999999999</v>
      </c>
      <c r="D55" s="102">
        <v>85.781807000000001</v>
      </c>
      <c r="E55" s="102">
        <v>57.221961999999998</v>
      </c>
      <c r="F55" s="102">
        <v>351.708618</v>
      </c>
      <c r="G55" s="102">
        <v>90.556838999999997</v>
      </c>
      <c r="H55" s="82"/>
      <c r="I55" s="103">
        <v>1.8499999999999999E-2</v>
      </c>
      <c r="J55" s="103">
        <v>9.1600000000000001E-2</v>
      </c>
      <c r="K55" s="103">
        <v>-7.0000000000000001E-3</v>
      </c>
      <c r="L55" s="103">
        <v>8.3400000000000002E-2</v>
      </c>
      <c r="M55" s="103">
        <v>0.10879999999999999</v>
      </c>
      <c r="N55" s="103">
        <v>-1E-4</v>
      </c>
      <c r="O55" s="104">
        <f>SUMPRODUCT($I$16:$M$16,I55:M55)</f>
        <v>5.9060000000000001E-2</v>
      </c>
      <c r="P55" s="82"/>
      <c r="Q55" s="105">
        <v>683.06</v>
      </c>
      <c r="R55" s="105">
        <v>271.13</v>
      </c>
      <c r="S55" s="105">
        <v>944.54</v>
      </c>
      <c r="T55" s="105">
        <v>200.46</v>
      </c>
      <c r="U55" s="105">
        <v>446.24</v>
      </c>
      <c r="V55" s="105">
        <v>43.72</v>
      </c>
      <c r="W55" s="82"/>
      <c r="X55" s="111">
        <f t="shared" si="2"/>
        <v>1.8599999999999998E-2</v>
      </c>
      <c r="Y55" s="111">
        <f t="shared" si="4"/>
        <v>9.1700000000000004E-2</v>
      </c>
      <c r="Z55" s="111">
        <f t="shared" si="5"/>
        <v>-6.8999999999999999E-3</v>
      </c>
      <c r="AA55" s="111">
        <f t="shared" si="6"/>
        <v>8.3500000000000005E-2</v>
      </c>
      <c r="AB55" s="111">
        <f t="shared" si="7"/>
        <v>0.1089</v>
      </c>
      <c r="AC55" s="112">
        <f t="shared" si="3"/>
        <v>5.9160000000000004E-2</v>
      </c>
    </row>
    <row r="56" spans="1:29" x14ac:dyDescent="0.2">
      <c r="A56" s="101">
        <v>44166</v>
      </c>
      <c r="B56" s="102">
        <v>133.378265</v>
      </c>
      <c r="C56" s="102">
        <v>82.162436999999997</v>
      </c>
      <c r="D56" s="102">
        <v>85.488533000000004</v>
      </c>
      <c r="E56" s="102">
        <v>56.565959999999997</v>
      </c>
      <c r="F56" s="102">
        <v>363.19064300000002</v>
      </c>
      <c r="G56" s="102">
        <v>90.556838999999997</v>
      </c>
      <c r="H56" s="82"/>
      <c r="I56" s="103">
        <v>1.9E-3</v>
      </c>
      <c r="J56" s="103">
        <v>-1.5E-3</v>
      </c>
      <c r="K56" s="103">
        <v>-3.3999999999999998E-3</v>
      </c>
      <c r="L56" s="103">
        <v>-1.15E-2</v>
      </c>
      <c r="M56" s="103">
        <v>3.2599999999999997E-2</v>
      </c>
      <c r="N56" s="103">
        <v>0</v>
      </c>
      <c r="O56" s="104">
        <f>SUMPRODUCT($I$16:$M$16,I56:M56)</f>
        <v>3.62E-3</v>
      </c>
      <c r="P56" s="82"/>
      <c r="Q56" s="105">
        <v>686.33</v>
      </c>
      <c r="R56" s="105">
        <v>269.2</v>
      </c>
      <c r="S56" s="105">
        <v>937.89</v>
      </c>
      <c r="T56" s="105">
        <v>186.7</v>
      </c>
      <c r="U56" s="105">
        <v>493.45</v>
      </c>
      <c r="V56" s="105">
        <v>43.72</v>
      </c>
      <c r="W56" s="82"/>
      <c r="X56" s="111">
        <f t="shared" si="2"/>
        <v>1.9E-3</v>
      </c>
      <c r="Y56" s="111">
        <f t="shared" si="4"/>
        <v>-1.5E-3</v>
      </c>
      <c r="Z56" s="111">
        <f t="shared" si="5"/>
        <v>-3.3999999999999998E-3</v>
      </c>
      <c r="AA56" s="111">
        <f t="shared" si="6"/>
        <v>-1.15E-2</v>
      </c>
      <c r="AB56" s="111">
        <f t="shared" si="7"/>
        <v>3.2599999999999997E-2</v>
      </c>
      <c r="AC56" s="112">
        <f t="shared" si="3"/>
        <v>3.62E-3</v>
      </c>
    </row>
    <row r="57" spans="1:29" x14ac:dyDescent="0.2">
      <c r="A57" s="101">
        <v>44197</v>
      </c>
      <c r="B57" s="102">
        <v>122.90089399999999</v>
      </c>
      <c r="C57" s="102">
        <v>74.946442000000005</v>
      </c>
      <c r="D57" s="102">
        <v>82.744422999999998</v>
      </c>
      <c r="E57" s="102">
        <v>54.672932000000003</v>
      </c>
      <c r="F57" s="102">
        <v>361.02200299999998</v>
      </c>
      <c r="G57" s="102">
        <v>90.559792000000002</v>
      </c>
      <c r="H57" s="82"/>
      <c r="I57" s="103">
        <v>-7.8600000000000003E-2</v>
      </c>
      <c r="J57" s="103">
        <v>-8.7800000000000003E-2</v>
      </c>
      <c r="K57" s="103">
        <v>-3.2099999999999997E-2</v>
      </c>
      <c r="L57" s="103">
        <v>-3.3500000000000002E-2</v>
      </c>
      <c r="M57" s="103">
        <v>-6.0000000000000001E-3</v>
      </c>
      <c r="N57" s="103">
        <v>0</v>
      </c>
      <c r="O57" s="104">
        <f>SUMPRODUCT($I$16:$M$16,I57:M57)</f>
        <v>-4.760000000000001E-2</v>
      </c>
      <c r="P57" s="82"/>
      <c r="Q57" s="105">
        <v>553.86</v>
      </c>
      <c r="R57" s="105">
        <v>157.72999999999999</v>
      </c>
      <c r="S57" s="105">
        <v>875.68</v>
      </c>
      <c r="T57" s="105">
        <v>146.97999999999999</v>
      </c>
      <c r="U57" s="105">
        <v>484.53</v>
      </c>
      <c r="V57" s="105">
        <v>43.76</v>
      </c>
      <c r="W57" s="82"/>
      <c r="X57" s="111">
        <f t="shared" si="2"/>
        <v>-7.8600000000000003E-2</v>
      </c>
      <c r="Y57" s="111">
        <f t="shared" si="4"/>
        <v>-8.7800000000000003E-2</v>
      </c>
      <c r="Z57" s="111">
        <f t="shared" si="5"/>
        <v>-3.2099999999999997E-2</v>
      </c>
      <c r="AA57" s="111">
        <f t="shared" si="6"/>
        <v>-3.3500000000000002E-2</v>
      </c>
      <c r="AB57" s="111">
        <f t="shared" si="7"/>
        <v>-6.0000000000000001E-3</v>
      </c>
      <c r="AC57" s="112">
        <f t="shared" si="3"/>
        <v>-4.760000000000001E-2</v>
      </c>
    </row>
    <row r="58" spans="1:29" x14ac:dyDescent="0.2">
      <c r="A58" s="101">
        <v>44228</v>
      </c>
      <c r="B58" s="102">
        <v>119.128929</v>
      </c>
      <c r="C58" s="102">
        <v>72.659308999999993</v>
      </c>
      <c r="D58" s="102">
        <v>77.177825999999996</v>
      </c>
      <c r="E58" s="102">
        <v>48.787674000000003</v>
      </c>
      <c r="F58" s="102">
        <v>371.06036399999999</v>
      </c>
      <c r="G58" s="102">
        <v>90.549903999999998</v>
      </c>
      <c r="H58" s="82"/>
      <c r="I58" s="103">
        <v>-3.0700000000000002E-2</v>
      </c>
      <c r="J58" s="103">
        <v>-3.0499999999999999E-2</v>
      </c>
      <c r="K58" s="103">
        <v>-6.7299999999999999E-2</v>
      </c>
      <c r="L58" s="103">
        <v>-0.1076</v>
      </c>
      <c r="M58" s="103">
        <v>2.7799999999999998E-2</v>
      </c>
      <c r="N58" s="103">
        <v>-1E-4</v>
      </c>
      <c r="O58" s="104">
        <f>SUMPRODUCT($I$16:$M$16,I58:M58)</f>
        <v>-4.1659999999999996E-2</v>
      </c>
      <c r="P58" s="82"/>
      <c r="Q58" s="105">
        <v>506.17</v>
      </c>
      <c r="R58" s="105">
        <v>122.4</v>
      </c>
      <c r="S58" s="105">
        <v>749.5</v>
      </c>
      <c r="T58" s="105">
        <v>23.52</v>
      </c>
      <c r="U58" s="105">
        <v>525.80999999999995</v>
      </c>
      <c r="V58" s="105">
        <v>43.64</v>
      </c>
      <c r="W58" s="82"/>
      <c r="X58" s="111">
        <f t="shared" si="2"/>
        <v>-3.0600000000000002E-2</v>
      </c>
      <c r="Y58" s="111">
        <f t="shared" si="4"/>
        <v>-3.04E-2</v>
      </c>
      <c r="Z58" s="111">
        <f t="shared" si="5"/>
        <v>-6.7199999999999996E-2</v>
      </c>
      <c r="AA58" s="111">
        <f t="shared" si="6"/>
        <v>-0.1075</v>
      </c>
      <c r="AB58" s="111">
        <f t="shared" si="7"/>
        <v>2.7899999999999998E-2</v>
      </c>
      <c r="AC58" s="112">
        <f t="shared" si="3"/>
        <v>-4.1559999999999993E-2</v>
      </c>
    </row>
    <row r="59" spans="1:29" x14ac:dyDescent="0.2">
      <c r="A59" s="101">
        <v>44256</v>
      </c>
      <c r="B59" s="102">
        <v>130.60495</v>
      </c>
      <c r="C59" s="102">
        <v>76.166663999999997</v>
      </c>
      <c r="D59" s="102">
        <v>85.868767000000005</v>
      </c>
      <c r="E59" s="102">
        <v>52.821075</v>
      </c>
      <c r="F59" s="102">
        <v>386.63989299999997</v>
      </c>
      <c r="G59" s="102">
        <v>90.540008999999998</v>
      </c>
      <c r="H59" s="82"/>
      <c r="I59" s="103">
        <v>9.6299999999999997E-2</v>
      </c>
      <c r="J59" s="103">
        <v>4.8300000000000003E-2</v>
      </c>
      <c r="K59" s="103">
        <v>0.11260000000000001</v>
      </c>
      <c r="L59" s="103">
        <v>8.2699999999999996E-2</v>
      </c>
      <c r="M59" s="103">
        <v>4.2000000000000003E-2</v>
      </c>
      <c r="N59" s="103">
        <v>-1E-4</v>
      </c>
      <c r="O59" s="104">
        <f>SUMPRODUCT($I$16:$M$16,I59:M59)</f>
        <v>7.6380000000000003E-2</v>
      </c>
      <c r="P59" s="82"/>
      <c r="Q59" s="105">
        <v>651.26</v>
      </c>
      <c r="R59" s="105">
        <v>176.58</v>
      </c>
      <c r="S59" s="105">
        <v>946.51</v>
      </c>
      <c r="T59" s="105">
        <v>108.13</v>
      </c>
      <c r="U59" s="105">
        <v>589.88</v>
      </c>
      <c r="V59" s="105">
        <v>43.53</v>
      </c>
      <c r="W59" s="82"/>
      <c r="X59" s="111">
        <f t="shared" si="2"/>
        <v>9.64E-2</v>
      </c>
      <c r="Y59" s="111">
        <f t="shared" si="4"/>
        <v>4.8400000000000006E-2</v>
      </c>
      <c r="Z59" s="111">
        <f t="shared" si="5"/>
        <v>0.11270000000000001</v>
      </c>
      <c r="AA59" s="111">
        <f t="shared" si="6"/>
        <v>8.2799999999999999E-2</v>
      </c>
      <c r="AB59" s="111">
        <f t="shared" si="7"/>
        <v>4.2100000000000005E-2</v>
      </c>
      <c r="AC59" s="112">
        <f t="shared" si="3"/>
        <v>7.6480000000000006E-2</v>
      </c>
    </row>
    <row r="60" spans="1:29" x14ac:dyDescent="0.2">
      <c r="A60" s="101">
        <v>44287</v>
      </c>
      <c r="B60" s="102">
        <v>128.66658000000001</v>
      </c>
      <c r="C60" s="102">
        <v>77.973488000000003</v>
      </c>
      <c r="D60" s="102">
        <v>84.286063999999996</v>
      </c>
      <c r="E60" s="102">
        <v>55.555312999999998</v>
      </c>
      <c r="F60" s="102">
        <v>408.430542</v>
      </c>
      <c r="G60" s="102">
        <v>90.540008999999998</v>
      </c>
      <c r="H60" s="82"/>
      <c r="I60" s="103">
        <v>-1.4800000000000001E-2</v>
      </c>
      <c r="J60" s="103">
        <v>2.3699999999999999E-2</v>
      </c>
      <c r="K60" s="103">
        <v>-1.84E-2</v>
      </c>
      <c r="L60" s="103">
        <v>5.1799999999999999E-2</v>
      </c>
      <c r="M60" s="103">
        <v>5.6399999999999999E-2</v>
      </c>
      <c r="N60" s="103">
        <v>0</v>
      </c>
      <c r="O60" s="104">
        <f>SUMPRODUCT($I$16:$M$16,I60:M60)</f>
        <v>1.9740000000000001E-2</v>
      </c>
      <c r="P60" s="82"/>
      <c r="Q60" s="105">
        <v>626.76</v>
      </c>
      <c r="R60" s="105">
        <v>204.49</v>
      </c>
      <c r="S60" s="105">
        <v>910.63</v>
      </c>
      <c r="T60" s="105">
        <v>165.5</v>
      </c>
      <c r="U60" s="105">
        <v>679.48</v>
      </c>
      <c r="V60" s="105">
        <v>43.53</v>
      </c>
      <c r="W60" s="82"/>
      <c r="X60" s="111">
        <f t="shared" si="2"/>
        <v>-1.4800000000000001E-2</v>
      </c>
      <c r="Y60" s="111">
        <f t="shared" si="4"/>
        <v>2.3699999999999999E-2</v>
      </c>
      <c r="Z60" s="111">
        <f t="shared" si="5"/>
        <v>-1.84E-2</v>
      </c>
      <c r="AA60" s="111">
        <f t="shared" si="6"/>
        <v>5.1799999999999999E-2</v>
      </c>
      <c r="AB60" s="111">
        <f t="shared" si="7"/>
        <v>5.6399999999999999E-2</v>
      </c>
      <c r="AC60" s="112">
        <f t="shared" si="3"/>
        <v>1.9740000000000001E-2</v>
      </c>
    </row>
    <row r="61" spans="1:29" x14ac:dyDescent="0.2">
      <c r="A61" s="101">
        <v>44317</v>
      </c>
      <c r="B61" s="102">
        <v>130.877655</v>
      </c>
      <c r="C61" s="102">
        <v>81.405212000000006</v>
      </c>
      <c r="D61" s="102">
        <v>84.276229999999998</v>
      </c>
      <c r="E61" s="102">
        <v>56.737952999999997</v>
      </c>
      <c r="F61" s="102">
        <v>411.11230499999999</v>
      </c>
      <c r="G61" s="102">
        <v>90.530113</v>
      </c>
      <c r="H61" s="82"/>
      <c r="I61" s="103">
        <v>1.72E-2</v>
      </c>
      <c r="J61" s="103">
        <v>4.3999999999999997E-2</v>
      </c>
      <c r="K61" s="103">
        <v>-1E-4</v>
      </c>
      <c r="L61" s="103">
        <v>2.1299999999999999E-2</v>
      </c>
      <c r="M61" s="103">
        <v>6.6E-3</v>
      </c>
      <c r="N61" s="103">
        <v>-1E-4</v>
      </c>
      <c r="O61" s="104">
        <f>SUMPRODUCT($I$16:$M$16,I61:M61)</f>
        <v>1.7800000000000003E-2</v>
      </c>
      <c r="P61" s="82"/>
      <c r="Q61" s="105">
        <v>654.71</v>
      </c>
      <c r="R61" s="105">
        <v>257.5</v>
      </c>
      <c r="S61" s="105">
        <v>910.41</v>
      </c>
      <c r="T61" s="105">
        <v>190.31</v>
      </c>
      <c r="U61" s="105">
        <v>690.51</v>
      </c>
      <c r="V61" s="105">
        <v>43.41</v>
      </c>
      <c r="W61" s="82"/>
      <c r="X61" s="111">
        <f t="shared" si="2"/>
        <v>1.7299999999999999E-2</v>
      </c>
      <c r="Y61" s="111">
        <f t="shared" si="4"/>
        <v>4.41E-2</v>
      </c>
      <c r="Z61" s="111">
        <f t="shared" si="5"/>
        <v>0</v>
      </c>
      <c r="AA61" s="111">
        <f t="shared" si="6"/>
        <v>2.1399999999999999E-2</v>
      </c>
      <c r="AB61" s="111">
        <f t="shared" si="7"/>
        <v>6.7000000000000002E-3</v>
      </c>
      <c r="AC61" s="112">
        <f t="shared" si="3"/>
        <v>1.7900000000000003E-2</v>
      </c>
    </row>
    <row r="62" spans="1:29" x14ac:dyDescent="0.2">
      <c r="A62" s="101">
        <v>44348</v>
      </c>
      <c r="B62" s="102">
        <v>130.95529199999999</v>
      </c>
      <c r="C62" s="102">
        <v>79.044098000000005</v>
      </c>
      <c r="D62" s="102">
        <v>84.018096999999997</v>
      </c>
      <c r="E62" s="102">
        <v>55.822806999999997</v>
      </c>
      <c r="F62" s="102">
        <v>418.96182299999998</v>
      </c>
      <c r="G62" s="102">
        <v>90.510329999999996</v>
      </c>
      <c r="H62" s="82"/>
      <c r="I62" s="103">
        <v>5.9999999999999995E-4</v>
      </c>
      <c r="J62" s="103">
        <v>-2.9000000000000001E-2</v>
      </c>
      <c r="K62" s="103">
        <v>-3.0999999999999999E-3</v>
      </c>
      <c r="L62" s="103">
        <v>-1.61E-2</v>
      </c>
      <c r="M62" s="103">
        <v>1.9099999999999999E-2</v>
      </c>
      <c r="N62" s="103">
        <v>-2.0000000000000001E-4</v>
      </c>
      <c r="O62" s="104">
        <f>SUMPRODUCT($I$16:$M$16,I62:M62)</f>
        <v>-5.7000000000000002E-3</v>
      </c>
      <c r="P62" s="82"/>
      <c r="Q62" s="105">
        <v>655.69</v>
      </c>
      <c r="R62" s="105">
        <v>221.03</v>
      </c>
      <c r="S62" s="105">
        <v>904.56</v>
      </c>
      <c r="T62" s="105">
        <v>171.11</v>
      </c>
      <c r="U62" s="105">
        <v>722.78</v>
      </c>
      <c r="V62" s="105">
        <v>43.19</v>
      </c>
      <c r="W62" s="82"/>
      <c r="X62" s="111">
        <f t="shared" si="2"/>
        <v>7.9999999999999993E-4</v>
      </c>
      <c r="Y62" s="111">
        <f t="shared" si="4"/>
        <v>-2.8800000000000003E-2</v>
      </c>
      <c r="Z62" s="111">
        <f t="shared" si="5"/>
        <v>-2.8999999999999998E-3</v>
      </c>
      <c r="AA62" s="111">
        <f t="shared" si="6"/>
        <v>-1.5900000000000001E-2</v>
      </c>
      <c r="AB62" s="111">
        <f t="shared" si="7"/>
        <v>1.9299999999999998E-2</v>
      </c>
      <c r="AC62" s="112">
        <f t="shared" si="3"/>
        <v>-5.5000000000000005E-3</v>
      </c>
    </row>
    <row r="63" spans="1:29" x14ac:dyDescent="0.2">
      <c r="A63" s="101">
        <v>44378</v>
      </c>
      <c r="B63" s="102">
        <v>138.04025300000001</v>
      </c>
      <c r="C63" s="102">
        <v>77.246544</v>
      </c>
      <c r="D63" s="102">
        <v>85.358909999999995</v>
      </c>
      <c r="E63" s="102">
        <v>54.897198000000003</v>
      </c>
      <c r="F63" s="102">
        <v>430.59387199999998</v>
      </c>
      <c r="G63" s="102">
        <v>90.500420000000005</v>
      </c>
      <c r="H63" s="82"/>
      <c r="I63" s="103">
        <v>5.4100000000000002E-2</v>
      </c>
      <c r="J63" s="103">
        <v>-2.2700000000000001E-2</v>
      </c>
      <c r="K63" s="103">
        <v>1.6E-2</v>
      </c>
      <c r="L63" s="103">
        <v>-1.66E-2</v>
      </c>
      <c r="M63" s="103">
        <v>2.7799999999999998E-2</v>
      </c>
      <c r="N63" s="103">
        <v>-1E-4</v>
      </c>
      <c r="O63" s="104">
        <f>SUMPRODUCT($I$16:$M$16,I63:M63)</f>
        <v>1.1720000000000001E-2</v>
      </c>
      <c r="P63" s="82"/>
      <c r="Q63" s="105">
        <v>745.27</v>
      </c>
      <c r="R63" s="105">
        <v>193.26</v>
      </c>
      <c r="S63" s="105">
        <v>934.95</v>
      </c>
      <c r="T63" s="105">
        <v>151.69</v>
      </c>
      <c r="U63" s="105">
        <v>770.62</v>
      </c>
      <c r="V63" s="105">
        <v>43.07</v>
      </c>
      <c r="W63" s="82"/>
      <c r="X63" s="111">
        <f t="shared" si="2"/>
        <v>5.4200000000000005E-2</v>
      </c>
      <c r="Y63" s="111">
        <f t="shared" si="4"/>
        <v>-2.2600000000000002E-2</v>
      </c>
      <c r="Z63" s="111">
        <f t="shared" si="5"/>
        <v>1.61E-2</v>
      </c>
      <c r="AA63" s="111">
        <f t="shared" si="6"/>
        <v>-1.6500000000000001E-2</v>
      </c>
      <c r="AB63" s="111">
        <f t="shared" si="7"/>
        <v>2.7899999999999998E-2</v>
      </c>
      <c r="AC63" s="112">
        <f t="shared" si="3"/>
        <v>1.1820000000000001E-2</v>
      </c>
    </row>
    <row r="64" spans="1:29" x14ac:dyDescent="0.2">
      <c r="A64" s="101">
        <v>44409</v>
      </c>
      <c r="B64" s="102">
        <v>139.06471300000001</v>
      </c>
      <c r="C64" s="102">
        <v>76.148560000000003</v>
      </c>
      <c r="D64" s="102">
        <v>82.480095000000006</v>
      </c>
      <c r="E64" s="102">
        <v>53.131866000000002</v>
      </c>
      <c r="F64" s="102">
        <v>443.40832499999999</v>
      </c>
      <c r="G64" s="102">
        <v>90.490539999999996</v>
      </c>
      <c r="H64" s="82"/>
      <c r="I64" s="103">
        <v>7.4000000000000003E-3</v>
      </c>
      <c r="J64" s="103">
        <v>-1.4200000000000001E-2</v>
      </c>
      <c r="K64" s="103">
        <v>-3.3700000000000001E-2</v>
      </c>
      <c r="L64" s="103">
        <v>-3.2199999999999999E-2</v>
      </c>
      <c r="M64" s="103">
        <v>2.98E-2</v>
      </c>
      <c r="N64" s="103">
        <v>-1E-4</v>
      </c>
      <c r="O64" s="104">
        <f>SUMPRODUCT($I$16:$M$16,I64:M64)</f>
        <v>-8.5800000000000008E-3</v>
      </c>
      <c r="P64" s="82"/>
      <c r="Q64" s="105">
        <v>758.22</v>
      </c>
      <c r="R64" s="105">
        <v>176.3</v>
      </c>
      <c r="S64" s="105">
        <v>869.69</v>
      </c>
      <c r="T64" s="105">
        <v>114.65</v>
      </c>
      <c r="U64" s="105">
        <v>823.31</v>
      </c>
      <c r="V64" s="105">
        <v>42.96</v>
      </c>
      <c r="W64" s="82"/>
      <c r="X64" s="111">
        <f t="shared" si="2"/>
        <v>7.5000000000000006E-3</v>
      </c>
      <c r="Y64" s="111">
        <f t="shared" si="4"/>
        <v>-1.4100000000000001E-2</v>
      </c>
      <c r="Z64" s="111">
        <f t="shared" si="5"/>
        <v>-3.3599999999999998E-2</v>
      </c>
      <c r="AA64" s="111">
        <f t="shared" si="6"/>
        <v>-3.2099999999999997E-2</v>
      </c>
      <c r="AB64" s="111">
        <f t="shared" si="7"/>
        <v>2.9899999999999999E-2</v>
      </c>
      <c r="AC64" s="112">
        <f t="shared" si="3"/>
        <v>-8.4800000000000014E-3</v>
      </c>
    </row>
    <row r="65" spans="1:29" x14ac:dyDescent="0.2">
      <c r="A65" s="101">
        <v>44440</v>
      </c>
      <c r="B65" s="102">
        <v>136.535202</v>
      </c>
      <c r="C65" s="102">
        <v>73.833327999999995</v>
      </c>
      <c r="D65" s="102">
        <v>81.650458999999998</v>
      </c>
      <c r="E65" s="102">
        <v>52.196159000000002</v>
      </c>
      <c r="F65" s="102">
        <v>421.39306599999998</v>
      </c>
      <c r="G65" s="102">
        <v>90.500420000000005</v>
      </c>
      <c r="H65" s="82"/>
      <c r="I65" s="103">
        <v>-1.8200000000000001E-2</v>
      </c>
      <c r="J65" s="103">
        <v>-3.04E-2</v>
      </c>
      <c r="K65" s="103">
        <v>-1.01E-2</v>
      </c>
      <c r="L65" s="103">
        <v>-1.7600000000000001E-2</v>
      </c>
      <c r="M65" s="103">
        <v>-4.9700000000000001E-2</v>
      </c>
      <c r="N65" s="103">
        <v>1E-4</v>
      </c>
      <c r="O65" s="104">
        <f>SUMPRODUCT($I$16:$M$16,I65:M65)</f>
        <v>-2.52E-2</v>
      </c>
      <c r="P65" s="82"/>
      <c r="Q65" s="105">
        <v>726.24</v>
      </c>
      <c r="R65" s="105">
        <v>140.53</v>
      </c>
      <c r="S65" s="105">
        <v>850.89</v>
      </c>
      <c r="T65" s="105">
        <v>95.02</v>
      </c>
      <c r="U65" s="105">
        <v>732.78</v>
      </c>
      <c r="V65" s="105">
        <v>43.07</v>
      </c>
      <c r="W65" s="82"/>
      <c r="X65" s="111">
        <f t="shared" si="2"/>
        <v>-1.83E-2</v>
      </c>
      <c r="Y65" s="111">
        <f t="shared" si="4"/>
        <v>-3.0499999999999999E-2</v>
      </c>
      <c r="Z65" s="111">
        <f t="shared" si="5"/>
        <v>-1.0199999999999999E-2</v>
      </c>
      <c r="AA65" s="111">
        <f t="shared" si="6"/>
        <v>-1.77E-2</v>
      </c>
      <c r="AB65" s="111">
        <f t="shared" si="7"/>
        <v>-4.9800000000000004E-2</v>
      </c>
      <c r="AC65" s="112">
        <f t="shared" si="3"/>
        <v>-2.53E-2</v>
      </c>
    </row>
    <row r="66" spans="1:29" x14ac:dyDescent="0.2">
      <c r="A66" s="101">
        <v>44470</v>
      </c>
      <c r="B66" s="102">
        <v>139.65068099999999</v>
      </c>
      <c r="C66" s="102">
        <v>74.429230000000004</v>
      </c>
      <c r="D66" s="102">
        <v>86.387114999999994</v>
      </c>
      <c r="E66" s="102">
        <v>51.580044000000001</v>
      </c>
      <c r="F66" s="102">
        <v>452.40420499999999</v>
      </c>
      <c r="G66" s="102">
        <v>90.490539999999996</v>
      </c>
      <c r="H66" s="82"/>
      <c r="I66" s="103">
        <v>2.2800000000000001E-2</v>
      </c>
      <c r="J66" s="103">
        <v>8.0999999999999996E-3</v>
      </c>
      <c r="K66" s="103">
        <v>5.8000000000000003E-2</v>
      </c>
      <c r="L66" s="103">
        <v>-1.18E-2</v>
      </c>
      <c r="M66" s="103">
        <v>7.3599999999999999E-2</v>
      </c>
      <c r="N66" s="103">
        <v>-1E-4</v>
      </c>
      <c r="O66" s="104">
        <f>SUMPRODUCT($I$16:$M$16,I66:M66)</f>
        <v>3.014E-2</v>
      </c>
      <c r="P66" s="82"/>
      <c r="Q66" s="105">
        <v>765.63</v>
      </c>
      <c r="R66" s="105">
        <v>149.74</v>
      </c>
      <c r="S66" s="105">
        <v>958.26</v>
      </c>
      <c r="T66" s="105">
        <v>82.1</v>
      </c>
      <c r="U66" s="105">
        <v>860.3</v>
      </c>
      <c r="V66" s="105">
        <v>42.96</v>
      </c>
      <c r="W66" s="82"/>
      <c r="X66" s="111">
        <f t="shared" si="2"/>
        <v>2.29E-2</v>
      </c>
      <c r="Y66" s="111">
        <f t="shared" si="4"/>
        <v>8.199999999999999E-3</v>
      </c>
      <c r="Z66" s="111">
        <f t="shared" si="5"/>
        <v>5.8100000000000006E-2</v>
      </c>
      <c r="AA66" s="111">
        <f t="shared" si="6"/>
        <v>-1.17E-2</v>
      </c>
      <c r="AB66" s="111">
        <f t="shared" si="7"/>
        <v>7.3700000000000002E-2</v>
      </c>
      <c r="AC66" s="112">
        <f t="shared" si="3"/>
        <v>3.024E-2</v>
      </c>
    </row>
    <row r="67" spans="1:29" x14ac:dyDescent="0.2">
      <c r="A67" s="101">
        <v>44501</v>
      </c>
      <c r="B67" s="102">
        <v>142.07891799999999</v>
      </c>
      <c r="C67" s="102">
        <v>73.729950000000002</v>
      </c>
      <c r="D67" s="102">
        <v>88.384620999999996</v>
      </c>
      <c r="E67" s="102">
        <v>48.951949999999997</v>
      </c>
      <c r="F67" s="102">
        <v>448.769226</v>
      </c>
      <c r="G67" s="102">
        <v>90.470741000000004</v>
      </c>
      <c r="H67" s="82"/>
      <c r="I67" s="103">
        <v>1.7399999999999999E-2</v>
      </c>
      <c r="J67" s="103">
        <v>-9.4000000000000004E-3</v>
      </c>
      <c r="K67" s="103">
        <v>2.3099999999999999E-2</v>
      </c>
      <c r="L67" s="103">
        <v>-5.0999999999999997E-2</v>
      </c>
      <c r="M67" s="103">
        <v>-8.0000000000000002E-3</v>
      </c>
      <c r="N67" s="103">
        <v>-2.0000000000000001E-4</v>
      </c>
      <c r="O67" s="104">
        <f>SUMPRODUCT($I$16:$M$16,I67:M67)</f>
        <v>-5.5800000000000008E-3</v>
      </c>
      <c r="P67" s="82"/>
      <c r="Q67" s="105">
        <v>796.33</v>
      </c>
      <c r="R67" s="105">
        <v>138.94</v>
      </c>
      <c r="S67" s="105">
        <v>1003.54</v>
      </c>
      <c r="T67" s="105">
        <v>26.96</v>
      </c>
      <c r="U67" s="105">
        <v>845.35</v>
      </c>
      <c r="V67" s="105">
        <v>42.73</v>
      </c>
      <c r="W67" s="82"/>
      <c r="X67" s="111">
        <f t="shared" si="2"/>
        <v>1.7599999999999998E-2</v>
      </c>
      <c r="Y67" s="111">
        <f t="shared" si="4"/>
        <v>-9.1999999999999998E-3</v>
      </c>
      <c r="Z67" s="111">
        <f t="shared" si="5"/>
        <v>2.3299999999999998E-2</v>
      </c>
      <c r="AA67" s="111">
        <f t="shared" si="6"/>
        <v>-5.0799999999999998E-2</v>
      </c>
      <c r="AB67" s="111">
        <f t="shared" si="7"/>
        <v>-7.8000000000000005E-3</v>
      </c>
      <c r="AC67" s="112">
        <f t="shared" si="3"/>
        <v>-5.3800000000000011E-3</v>
      </c>
    </row>
    <row r="68" spans="1:29" x14ac:dyDescent="0.2">
      <c r="A68" s="101">
        <v>44531</v>
      </c>
      <c r="B68" s="102">
        <v>160.75024400000001</v>
      </c>
      <c r="C68" s="102">
        <v>83.872489999999999</v>
      </c>
      <c r="D68" s="102">
        <v>101.64331799999999</v>
      </c>
      <c r="E68" s="102">
        <v>52.263660000000002</v>
      </c>
      <c r="F68" s="102">
        <v>467.88000499999998</v>
      </c>
      <c r="G68" s="102">
        <v>90.470741000000004</v>
      </c>
      <c r="H68" s="82"/>
      <c r="I68" s="103">
        <v>0.13139999999999999</v>
      </c>
      <c r="J68" s="103">
        <v>0.1376</v>
      </c>
      <c r="K68" s="103">
        <v>0.15</v>
      </c>
      <c r="L68" s="103">
        <v>6.7699999999999996E-2</v>
      </c>
      <c r="M68" s="103">
        <v>4.2599999999999999E-2</v>
      </c>
      <c r="N68" s="103">
        <v>0</v>
      </c>
      <c r="O68" s="104">
        <f>SUMPRODUCT($I$16:$M$16,I68:M68)</f>
        <v>0.10586</v>
      </c>
      <c r="P68" s="82"/>
      <c r="Q68" s="105">
        <v>1032.4000000000001</v>
      </c>
      <c r="R68" s="105">
        <v>295.61</v>
      </c>
      <c r="S68" s="105">
        <v>1304.0899999999999</v>
      </c>
      <c r="T68" s="105">
        <v>96.44</v>
      </c>
      <c r="U68" s="105">
        <v>923.94</v>
      </c>
      <c r="V68" s="105">
        <v>42.73</v>
      </c>
      <c r="W68" s="82"/>
      <c r="X68" s="111">
        <f t="shared" si="2"/>
        <v>0.13139999999999999</v>
      </c>
      <c r="Y68" s="111">
        <f t="shared" si="4"/>
        <v>0.1376</v>
      </c>
      <c r="Z68" s="111">
        <f t="shared" si="5"/>
        <v>0.15</v>
      </c>
      <c r="AA68" s="111">
        <f t="shared" si="6"/>
        <v>6.7699999999999996E-2</v>
      </c>
      <c r="AB68" s="111">
        <f t="shared" si="7"/>
        <v>4.2599999999999999E-2</v>
      </c>
      <c r="AC68" s="112">
        <f t="shared" si="3"/>
        <v>0.10586</v>
      </c>
    </row>
    <row r="69" spans="1:29" x14ac:dyDescent="0.2">
      <c r="A69" s="101">
        <v>44562</v>
      </c>
      <c r="B69" s="102">
        <v>157.674362</v>
      </c>
      <c r="C69" s="102">
        <v>81.032180999999994</v>
      </c>
      <c r="D69" s="102">
        <v>101.792061</v>
      </c>
      <c r="E69" s="102">
        <v>49.931762999999997</v>
      </c>
      <c r="F69" s="102">
        <v>444.76049799999998</v>
      </c>
      <c r="G69" s="102">
        <v>90.470741000000004</v>
      </c>
      <c r="H69" s="82"/>
      <c r="I69" s="103">
        <v>-1.9099999999999999E-2</v>
      </c>
      <c r="J69" s="103">
        <v>-3.39E-2</v>
      </c>
      <c r="K69" s="103">
        <v>1.5E-3</v>
      </c>
      <c r="L69" s="103">
        <v>-4.4600000000000001E-2</v>
      </c>
      <c r="M69" s="103">
        <v>-4.9399999999999999E-2</v>
      </c>
      <c r="N69" s="103">
        <v>0</v>
      </c>
      <c r="O69" s="104">
        <f>SUMPRODUCT($I$16:$M$16,I69:M69)</f>
        <v>-2.9100000000000001E-2</v>
      </c>
      <c r="P69" s="82"/>
      <c r="Q69" s="105">
        <v>993.51</v>
      </c>
      <c r="R69" s="105">
        <v>251.74</v>
      </c>
      <c r="S69" s="105">
        <v>1307.46</v>
      </c>
      <c r="T69" s="105">
        <v>47.52</v>
      </c>
      <c r="U69" s="105">
        <v>828.87</v>
      </c>
      <c r="V69" s="105">
        <v>42.73</v>
      </c>
      <c r="W69" s="82"/>
      <c r="X69" s="111">
        <f t="shared" si="2"/>
        <v>-1.9099999999999999E-2</v>
      </c>
      <c r="Y69" s="111">
        <f t="shared" si="4"/>
        <v>-3.39E-2</v>
      </c>
      <c r="Z69" s="111">
        <f t="shared" si="5"/>
        <v>1.5E-3</v>
      </c>
      <c r="AA69" s="111">
        <f t="shared" si="6"/>
        <v>-4.4600000000000001E-2</v>
      </c>
      <c r="AB69" s="111">
        <f t="shared" si="7"/>
        <v>-4.9399999999999999E-2</v>
      </c>
      <c r="AC69" s="112">
        <f t="shared" si="3"/>
        <v>-2.9100000000000001E-2</v>
      </c>
    </row>
    <row r="70" spans="1:29" x14ac:dyDescent="0.2">
      <c r="A70" s="101">
        <v>44593</v>
      </c>
      <c r="B70" s="102">
        <v>154.02041600000001</v>
      </c>
      <c r="C70" s="102">
        <v>76.037575000000004</v>
      </c>
      <c r="D70" s="102">
        <v>97.032173</v>
      </c>
      <c r="E70" s="102">
        <v>48.843539999999997</v>
      </c>
      <c r="F70" s="102">
        <v>431.63250699999998</v>
      </c>
      <c r="G70" s="102">
        <v>90.450965999999994</v>
      </c>
      <c r="H70" s="82"/>
      <c r="I70" s="103">
        <v>-2.3199999999999998E-2</v>
      </c>
      <c r="J70" s="103">
        <v>-6.1600000000000002E-2</v>
      </c>
      <c r="K70" s="103">
        <v>-4.6800000000000001E-2</v>
      </c>
      <c r="L70" s="103">
        <v>-2.18E-2</v>
      </c>
      <c r="M70" s="103">
        <v>-2.9499999999999998E-2</v>
      </c>
      <c r="N70" s="103">
        <v>-2.0000000000000001E-4</v>
      </c>
      <c r="O70" s="104">
        <f>SUMPRODUCT($I$16:$M$16,I70:M70)</f>
        <v>-3.6580000000000001E-2</v>
      </c>
      <c r="P70" s="82"/>
      <c r="Q70" s="105">
        <v>947.31</v>
      </c>
      <c r="R70" s="105">
        <v>174.58</v>
      </c>
      <c r="S70" s="105">
        <v>1199.56</v>
      </c>
      <c r="T70" s="105">
        <v>24.69</v>
      </c>
      <c r="U70" s="105">
        <v>774.89</v>
      </c>
      <c r="V70" s="105">
        <v>42.5</v>
      </c>
      <c r="W70" s="82"/>
      <c r="X70" s="111">
        <f t="shared" si="2"/>
        <v>-2.3E-2</v>
      </c>
      <c r="Y70" s="111">
        <f t="shared" si="4"/>
        <v>-6.1400000000000003E-2</v>
      </c>
      <c r="Z70" s="111">
        <f t="shared" si="5"/>
        <v>-4.6600000000000003E-2</v>
      </c>
      <c r="AA70" s="111">
        <f t="shared" si="6"/>
        <v>-2.1600000000000001E-2</v>
      </c>
      <c r="AB70" s="111">
        <f t="shared" si="7"/>
        <v>-2.93E-2</v>
      </c>
      <c r="AC70" s="112">
        <f t="shared" si="3"/>
        <v>-3.6380000000000003E-2</v>
      </c>
    </row>
    <row r="71" spans="1:29" x14ac:dyDescent="0.2">
      <c r="A71" s="101">
        <v>44621</v>
      </c>
      <c r="B71" s="102">
        <v>150.967468</v>
      </c>
      <c r="C71" s="102">
        <v>74.930862000000005</v>
      </c>
      <c r="D71" s="102">
        <v>98.814850000000007</v>
      </c>
      <c r="E71" s="102">
        <v>44.698771999999998</v>
      </c>
      <c r="F71" s="102">
        <v>446.47070300000001</v>
      </c>
      <c r="G71" s="102">
        <v>90.470741000000004</v>
      </c>
      <c r="H71" s="82"/>
      <c r="I71" s="103">
        <v>-1.9800000000000002E-2</v>
      </c>
      <c r="J71" s="103">
        <v>-1.46E-2</v>
      </c>
      <c r="K71" s="103">
        <v>1.84E-2</v>
      </c>
      <c r="L71" s="103">
        <v>-8.4900000000000003E-2</v>
      </c>
      <c r="M71" s="103">
        <v>3.44E-2</v>
      </c>
      <c r="N71" s="103">
        <v>2.0000000000000001E-4</v>
      </c>
      <c r="O71" s="104">
        <f>SUMPRODUCT($I$16:$M$16,I71:M71)</f>
        <v>-1.3300000000000003E-2</v>
      </c>
      <c r="P71" s="82"/>
      <c r="Q71" s="105">
        <v>908.71</v>
      </c>
      <c r="R71" s="105">
        <v>157.49</v>
      </c>
      <c r="S71" s="105">
        <v>1239.98</v>
      </c>
      <c r="T71" s="105">
        <v>-62.26</v>
      </c>
      <c r="U71" s="105">
        <v>835.9</v>
      </c>
      <c r="V71" s="105">
        <v>42.73</v>
      </c>
      <c r="W71" s="82"/>
      <c r="X71" s="111">
        <f t="shared" si="2"/>
        <v>-0.02</v>
      </c>
      <c r="Y71" s="111">
        <f t="shared" si="4"/>
        <v>-1.4800000000000001E-2</v>
      </c>
      <c r="Z71" s="111">
        <f t="shared" si="5"/>
        <v>1.8200000000000001E-2</v>
      </c>
      <c r="AA71" s="111">
        <f t="shared" si="6"/>
        <v>-8.5100000000000009E-2</v>
      </c>
      <c r="AB71" s="111">
        <f t="shared" si="7"/>
        <v>3.4200000000000001E-2</v>
      </c>
      <c r="AC71" s="112">
        <f t="shared" si="3"/>
        <v>-1.3500000000000003E-2</v>
      </c>
    </row>
    <row r="72" spans="1:29" x14ac:dyDescent="0.2">
      <c r="A72" s="101">
        <v>44652</v>
      </c>
      <c r="B72" s="102">
        <v>158.624527</v>
      </c>
      <c r="C72" s="102">
        <v>76.136398</v>
      </c>
      <c r="D72" s="102">
        <v>97.005202999999995</v>
      </c>
      <c r="E72" s="102">
        <v>45.375579999999999</v>
      </c>
      <c r="F72" s="102">
        <v>408.54968300000002</v>
      </c>
      <c r="G72" s="102">
        <v>90.482628000000005</v>
      </c>
      <c r="H72" s="82"/>
      <c r="I72" s="103">
        <v>5.0700000000000002E-2</v>
      </c>
      <c r="J72" s="103">
        <v>1.61E-2</v>
      </c>
      <c r="K72" s="103">
        <v>-1.83E-2</v>
      </c>
      <c r="L72" s="103">
        <v>1.5100000000000001E-2</v>
      </c>
      <c r="M72" s="103">
        <v>-8.4900000000000003E-2</v>
      </c>
      <c r="N72" s="103">
        <v>1E-4</v>
      </c>
      <c r="O72" s="104">
        <f>SUMPRODUCT($I$16:$M$16,I72:M72)</f>
        <v>-4.2599999999999999E-3</v>
      </c>
      <c r="P72" s="82"/>
      <c r="Q72" s="105">
        <v>1005.52</v>
      </c>
      <c r="R72" s="105">
        <v>176.11</v>
      </c>
      <c r="S72" s="105">
        <v>1198.95</v>
      </c>
      <c r="T72" s="105">
        <v>-48.06</v>
      </c>
      <c r="U72" s="105">
        <v>679.97</v>
      </c>
      <c r="V72" s="105">
        <v>42.87</v>
      </c>
      <c r="W72" s="82"/>
      <c r="X72" s="111">
        <f t="shared" si="2"/>
        <v>5.0599999999999999E-2</v>
      </c>
      <c r="Y72" s="111">
        <f t="shared" si="4"/>
        <v>1.6E-2</v>
      </c>
      <c r="Z72" s="111">
        <f t="shared" si="5"/>
        <v>-1.84E-2</v>
      </c>
      <c r="AA72" s="111">
        <f t="shared" si="6"/>
        <v>1.5000000000000001E-2</v>
      </c>
      <c r="AB72" s="111">
        <f t="shared" si="7"/>
        <v>-8.5000000000000006E-2</v>
      </c>
      <c r="AC72" s="112">
        <f t="shared" si="3"/>
        <v>-4.3600000000000002E-3</v>
      </c>
    </row>
    <row r="73" spans="1:29" x14ac:dyDescent="0.2">
      <c r="A73" s="101">
        <v>44682</v>
      </c>
      <c r="B73" s="102">
        <v>146.92617799999999</v>
      </c>
      <c r="C73" s="102">
        <v>78.332237000000006</v>
      </c>
      <c r="D73" s="102">
        <v>89.547852000000006</v>
      </c>
      <c r="E73" s="102">
        <v>47.406010000000002</v>
      </c>
      <c r="F73" s="102">
        <v>409.47189300000002</v>
      </c>
      <c r="G73" s="102">
        <v>90.512321</v>
      </c>
      <c r="H73" s="82"/>
      <c r="I73" s="103">
        <v>-7.3700000000000002E-2</v>
      </c>
      <c r="J73" s="103">
        <v>2.8799999999999999E-2</v>
      </c>
      <c r="K73" s="103">
        <v>-7.6899999999999996E-2</v>
      </c>
      <c r="L73" s="103">
        <v>4.4699999999999997E-2</v>
      </c>
      <c r="M73" s="103">
        <v>2.3E-3</v>
      </c>
      <c r="N73" s="103">
        <v>2.9999999999999997E-4</v>
      </c>
      <c r="O73" s="104">
        <f>SUMPRODUCT($I$16:$M$16,I73:M73)</f>
        <v>-1.4959999999999999E-2</v>
      </c>
      <c r="P73" s="82"/>
      <c r="Q73" s="105">
        <v>857.62</v>
      </c>
      <c r="R73" s="105">
        <v>210.03</v>
      </c>
      <c r="S73" s="105">
        <v>1029.9100000000001</v>
      </c>
      <c r="T73" s="105">
        <v>-5.47</v>
      </c>
      <c r="U73" s="105">
        <v>683.76</v>
      </c>
      <c r="V73" s="105">
        <v>43.21</v>
      </c>
      <c r="W73" s="82"/>
      <c r="X73" s="111">
        <f t="shared" si="2"/>
        <v>-7.3999999999999996E-2</v>
      </c>
      <c r="Y73" s="111">
        <f t="shared" si="4"/>
        <v>2.8499999999999998E-2</v>
      </c>
      <c r="Z73" s="111">
        <f t="shared" si="5"/>
        <v>-7.7199999999999991E-2</v>
      </c>
      <c r="AA73" s="111">
        <f t="shared" si="6"/>
        <v>4.4399999999999995E-2</v>
      </c>
      <c r="AB73" s="111">
        <f t="shared" si="7"/>
        <v>2E-3</v>
      </c>
      <c r="AC73" s="112">
        <f t="shared" si="3"/>
        <v>-1.5259999999999999E-2</v>
      </c>
    </row>
    <row r="74" spans="1:29" x14ac:dyDescent="0.2">
      <c r="A74" s="101">
        <v>44713</v>
      </c>
      <c r="B74" s="102">
        <v>142.862549</v>
      </c>
      <c r="C74" s="102">
        <v>79.654182000000006</v>
      </c>
      <c r="D74" s="102">
        <v>92.381775000000005</v>
      </c>
      <c r="E74" s="102">
        <v>45.422417000000003</v>
      </c>
      <c r="F74" s="102">
        <v>374.09069799999997</v>
      </c>
      <c r="G74" s="102">
        <v>90.551910000000007</v>
      </c>
      <c r="H74" s="82"/>
      <c r="I74" s="103">
        <v>-2.7699999999999999E-2</v>
      </c>
      <c r="J74" s="103">
        <v>1.6899999999999998E-2</v>
      </c>
      <c r="K74" s="103">
        <v>3.1600000000000003E-2</v>
      </c>
      <c r="L74" s="103">
        <v>-4.1799999999999997E-2</v>
      </c>
      <c r="M74" s="103">
        <v>-8.6400000000000005E-2</v>
      </c>
      <c r="N74" s="103">
        <v>4.0000000000000002E-4</v>
      </c>
      <c r="O74" s="104">
        <f>SUMPRODUCT($I$16:$M$16,I74:M74)</f>
        <v>-2.1479999999999999E-2</v>
      </c>
      <c r="P74" s="82"/>
      <c r="Q74" s="105">
        <v>806.24</v>
      </c>
      <c r="R74" s="105">
        <v>230.45</v>
      </c>
      <c r="S74" s="105">
        <v>1094.1500000000001</v>
      </c>
      <c r="T74" s="105">
        <v>-47.08</v>
      </c>
      <c r="U74" s="105">
        <v>538.27</v>
      </c>
      <c r="V74" s="105">
        <v>43.67</v>
      </c>
      <c r="W74" s="82"/>
      <c r="X74" s="111">
        <f t="shared" si="2"/>
        <v>-2.81E-2</v>
      </c>
      <c r="Y74" s="111">
        <f t="shared" si="4"/>
        <v>1.6499999999999997E-2</v>
      </c>
      <c r="Z74" s="111">
        <f t="shared" si="5"/>
        <v>3.1200000000000002E-2</v>
      </c>
      <c r="AA74" s="111">
        <f t="shared" si="6"/>
        <v>-4.2199999999999994E-2</v>
      </c>
      <c r="AB74" s="111">
        <f t="shared" si="7"/>
        <v>-8.6800000000000002E-2</v>
      </c>
      <c r="AC74" s="112">
        <f t="shared" si="3"/>
        <v>-2.188E-2</v>
      </c>
    </row>
    <row r="75" spans="1:29" x14ac:dyDescent="0.2">
      <c r="A75" s="101">
        <v>44743</v>
      </c>
      <c r="B75" s="102">
        <v>138.014038</v>
      </c>
      <c r="C75" s="102">
        <v>78.262664999999998</v>
      </c>
      <c r="D75" s="102">
        <v>87.705855999999997</v>
      </c>
      <c r="E75" s="102">
        <v>48.227245000000003</v>
      </c>
      <c r="F75" s="102">
        <v>410.30453499999999</v>
      </c>
      <c r="G75" s="102">
        <v>90.562813000000006</v>
      </c>
      <c r="H75" s="82"/>
      <c r="I75" s="103">
        <v>-3.39E-2</v>
      </c>
      <c r="J75" s="103">
        <v>-1.7500000000000002E-2</v>
      </c>
      <c r="K75" s="103">
        <v>-5.0599999999999999E-2</v>
      </c>
      <c r="L75" s="103">
        <v>6.1699999999999998E-2</v>
      </c>
      <c r="M75" s="103">
        <v>9.6799999999999997E-2</v>
      </c>
      <c r="N75" s="103">
        <v>1E-4</v>
      </c>
      <c r="O75" s="104">
        <f>SUMPRODUCT($I$16:$M$16,I75:M75)</f>
        <v>1.1300000000000001E-2</v>
      </c>
      <c r="P75" s="82"/>
      <c r="Q75" s="105">
        <v>744.94</v>
      </c>
      <c r="R75" s="105">
        <v>208.95</v>
      </c>
      <c r="S75" s="105">
        <v>988.15</v>
      </c>
      <c r="T75" s="105">
        <v>11.76</v>
      </c>
      <c r="U75" s="105">
        <v>687.19</v>
      </c>
      <c r="V75" s="105">
        <v>43.79</v>
      </c>
      <c r="W75" s="82"/>
      <c r="X75" s="111">
        <f t="shared" si="2"/>
        <v>-3.4000000000000002E-2</v>
      </c>
      <c r="Y75" s="111">
        <f t="shared" si="4"/>
        <v>-1.7600000000000001E-2</v>
      </c>
      <c r="Z75" s="111">
        <f t="shared" si="5"/>
        <v>-5.0700000000000002E-2</v>
      </c>
      <c r="AA75" s="111">
        <f t="shared" si="6"/>
        <v>6.1599999999999995E-2</v>
      </c>
      <c r="AB75" s="111">
        <f t="shared" si="7"/>
        <v>9.6699999999999994E-2</v>
      </c>
      <c r="AC75" s="112">
        <f t="shared" si="3"/>
        <v>1.1200000000000002E-2</v>
      </c>
    </row>
    <row r="76" spans="1:29" x14ac:dyDescent="0.2">
      <c r="A76" s="101">
        <v>44774</v>
      </c>
      <c r="B76" s="102">
        <v>137.94000199999999</v>
      </c>
      <c r="C76" s="102">
        <v>78.209998999999996</v>
      </c>
      <c r="D76" s="102">
        <v>83.458648999999994</v>
      </c>
      <c r="E76" s="102">
        <v>44.986328</v>
      </c>
      <c r="F76" s="102">
        <v>393.56329299999999</v>
      </c>
      <c r="G76" s="102">
        <v>90.694557000000003</v>
      </c>
      <c r="H76" s="82"/>
      <c r="I76" s="103">
        <v>-5.0000000000000001E-4</v>
      </c>
      <c r="J76" s="103">
        <v>-6.9999999999999999E-4</v>
      </c>
      <c r="K76" s="103">
        <v>-4.8399999999999999E-2</v>
      </c>
      <c r="L76" s="103">
        <v>-6.7199999999999996E-2</v>
      </c>
      <c r="M76" s="103">
        <v>-4.0800000000000003E-2</v>
      </c>
      <c r="N76" s="103">
        <v>1.5E-3</v>
      </c>
      <c r="O76" s="104">
        <f>SUMPRODUCT($I$16:$M$16,I76:M76)</f>
        <v>-3.1520000000000006E-2</v>
      </c>
      <c r="P76" s="82"/>
      <c r="Q76" s="105">
        <v>744</v>
      </c>
      <c r="R76" s="105">
        <v>208.14</v>
      </c>
      <c r="S76" s="105">
        <v>891.87</v>
      </c>
      <c r="T76" s="105">
        <v>-56.23</v>
      </c>
      <c r="U76" s="105">
        <v>618.34</v>
      </c>
      <c r="V76" s="105">
        <v>45.31</v>
      </c>
      <c r="W76" s="82"/>
      <c r="X76" s="111">
        <f t="shared" si="2"/>
        <v>-2E-3</v>
      </c>
      <c r="Y76" s="111">
        <f t="shared" si="4"/>
        <v>-2.2000000000000001E-3</v>
      </c>
      <c r="Z76" s="111">
        <f t="shared" si="5"/>
        <v>-4.99E-2</v>
      </c>
      <c r="AA76" s="111">
        <f t="shared" si="6"/>
        <v>-6.8699999999999997E-2</v>
      </c>
      <c r="AB76" s="111">
        <f t="shared" si="7"/>
        <v>-4.2300000000000004E-2</v>
      </c>
      <c r="AC76" s="112">
        <f t="shared" si="3"/>
        <v>-3.3020000000000008E-2</v>
      </c>
    </row>
    <row r="77" spans="1:29" x14ac:dyDescent="0.2">
      <c r="A77" s="101">
        <v>44805</v>
      </c>
      <c r="B77" s="102">
        <v>126.25</v>
      </c>
      <c r="C77" s="102">
        <v>70.25</v>
      </c>
      <c r="D77" s="102">
        <v>71.440002000000007</v>
      </c>
      <c r="E77" s="102">
        <v>43.84</v>
      </c>
      <c r="F77" s="102">
        <v>355.71875</v>
      </c>
      <c r="G77" s="102">
        <v>90.840423999999999</v>
      </c>
      <c r="H77" s="82"/>
      <c r="I77" s="103">
        <v>-8.4699999999999998E-2</v>
      </c>
      <c r="J77" s="103">
        <v>-0.1018</v>
      </c>
      <c r="K77" s="103">
        <v>-0.14399999999999999</v>
      </c>
      <c r="L77" s="103">
        <v>-2.5499999999999998E-2</v>
      </c>
      <c r="M77" s="103">
        <v>-9.6199999999999994E-2</v>
      </c>
      <c r="N77" s="103">
        <v>1.6000000000000001E-3</v>
      </c>
      <c r="O77" s="104">
        <f>SUMPRODUCT($I$16:$M$16,I77:M77)</f>
        <v>-9.0439999999999993E-2</v>
      </c>
      <c r="P77" s="82"/>
      <c r="Q77" s="105">
        <v>596.20000000000005</v>
      </c>
      <c r="R77" s="105">
        <v>85.18</v>
      </c>
      <c r="S77" s="105">
        <v>619.42999999999995</v>
      </c>
      <c r="T77" s="105">
        <v>-80.28</v>
      </c>
      <c r="U77" s="105">
        <v>462.73</v>
      </c>
      <c r="V77" s="105">
        <v>46.99</v>
      </c>
      <c r="W77" s="82"/>
      <c r="X77" s="111">
        <f t="shared" si="2"/>
        <v>-8.6300000000000002E-2</v>
      </c>
      <c r="Y77" s="111">
        <f t="shared" si="4"/>
        <v>-0.10340000000000001</v>
      </c>
      <c r="Z77" s="111">
        <f t="shared" si="5"/>
        <v>-0.14559999999999998</v>
      </c>
      <c r="AA77" s="111">
        <f t="shared" si="6"/>
        <v>-2.7099999999999999E-2</v>
      </c>
      <c r="AB77" s="111">
        <f t="shared" si="7"/>
        <v>-9.7799999999999998E-2</v>
      </c>
      <c r="AC77" s="112">
        <f t="shared" si="3"/>
        <v>-9.2039999999999997E-2</v>
      </c>
    </row>
    <row r="78" spans="1:29" x14ac:dyDescent="0.2">
      <c r="A78" s="101">
        <v>44835</v>
      </c>
      <c r="B78" s="102">
        <v>124.230003</v>
      </c>
      <c r="C78" s="102">
        <v>69.050003000000004</v>
      </c>
      <c r="D78" s="102">
        <v>71.910004000000001</v>
      </c>
      <c r="E78" s="102">
        <v>43.32</v>
      </c>
      <c r="F78" s="102">
        <v>357.63000499999998</v>
      </c>
      <c r="G78" s="102">
        <v>90.968620000000001</v>
      </c>
      <c r="H78" s="82"/>
      <c r="I78" s="103">
        <v>-1.6E-2</v>
      </c>
      <c r="J78" s="103">
        <v>-1.7100000000000001E-2</v>
      </c>
      <c r="K78" s="103">
        <v>6.6E-3</v>
      </c>
      <c r="L78" s="103">
        <v>-1.1900000000000001E-2</v>
      </c>
      <c r="M78" s="103">
        <v>5.4000000000000003E-3</v>
      </c>
      <c r="N78" s="103">
        <v>1.4E-3</v>
      </c>
      <c r="O78" s="104">
        <f>SUMPRODUCT($I$16:$M$16,I78:M78)</f>
        <v>-6.6000000000000008E-3</v>
      </c>
      <c r="P78" s="82"/>
      <c r="Q78" s="105">
        <v>570.66</v>
      </c>
      <c r="R78" s="105">
        <v>66.64</v>
      </c>
      <c r="S78" s="105">
        <v>630.09</v>
      </c>
      <c r="T78" s="105">
        <v>-91.19</v>
      </c>
      <c r="U78" s="105">
        <v>470.59</v>
      </c>
      <c r="V78" s="105">
        <v>48.47</v>
      </c>
      <c r="W78" s="82"/>
      <c r="X78" s="111">
        <f t="shared" si="2"/>
        <v>-1.7399999999999999E-2</v>
      </c>
      <c r="Y78" s="111">
        <f t="shared" si="4"/>
        <v>-1.8499999999999999E-2</v>
      </c>
      <c r="Z78" s="111">
        <f t="shared" si="5"/>
        <v>5.1999999999999998E-3</v>
      </c>
      <c r="AA78" s="111">
        <f t="shared" si="6"/>
        <v>-1.3300000000000001E-2</v>
      </c>
      <c r="AB78" s="111">
        <f t="shared" si="7"/>
        <v>4.0000000000000001E-3</v>
      </c>
      <c r="AC78" s="112">
        <f t="shared" si="3"/>
        <v>-8.0000000000000002E-3</v>
      </c>
    </row>
  </sheetData>
  <mergeCells count="3">
    <mergeCell ref="B17:E17"/>
    <mergeCell ref="I17:N17"/>
    <mergeCell ref="Q17:V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C2F9-9AEF-B040-8658-1CF873C7B36A}">
  <dimension ref="A1:F9"/>
  <sheetViews>
    <sheetView tabSelected="1" zoomScale="160" zoomScaleNormal="160" workbookViewId="0">
      <selection activeCell="B15" sqref="B15"/>
    </sheetView>
  </sheetViews>
  <sheetFormatPr baseColWidth="10" defaultRowHeight="16" x14ac:dyDescent="0.2"/>
  <cols>
    <col min="1" max="1" width="23.1640625" bestFit="1" customWidth="1"/>
    <col min="2" max="2" width="13.6640625" bestFit="1" customWidth="1"/>
    <col min="3" max="3" width="12" bestFit="1" customWidth="1"/>
    <col min="4" max="4" width="13.6640625" bestFit="1" customWidth="1"/>
    <col min="5" max="5" width="12" bestFit="1" customWidth="1"/>
    <col min="6" max="6" width="13.6640625" bestFit="1" customWidth="1"/>
  </cols>
  <sheetData>
    <row r="1" spans="1:6" x14ac:dyDescent="0.2">
      <c r="A1" t="s">
        <v>397</v>
      </c>
      <c r="B1">
        <v>40</v>
      </c>
    </row>
    <row r="2" spans="1:6" x14ac:dyDescent="0.2">
      <c r="A2" t="s">
        <v>398</v>
      </c>
      <c r="B2" s="4">
        <v>6000</v>
      </c>
    </row>
    <row r="3" spans="1:6" x14ac:dyDescent="0.2">
      <c r="A3" t="s">
        <v>399</v>
      </c>
      <c r="B3" s="73">
        <v>0.25</v>
      </c>
    </row>
    <row r="4" spans="1:6" x14ac:dyDescent="0.2">
      <c r="A4" t="s">
        <v>400</v>
      </c>
      <c r="B4" s="73">
        <v>0.35</v>
      </c>
    </row>
    <row r="6" spans="1:6" x14ac:dyDescent="0.2">
      <c r="B6" t="s">
        <v>390</v>
      </c>
    </row>
    <row r="7" spans="1:6" x14ac:dyDescent="0.2">
      <c r="A7" t="s">
        <v>401</v>
      </c>
      <c r="B7" s="85">
        <f>FV(Returns!B5,'Final Investment'!$B$1,-'Final Investment'!$B$2*(1-'Final Investment'!$B$3),0)</f>
        <v>2724560.0340126166</v>
      </c>
      <c r="C7" s="85"/>
      <c r="D7" s="85"/>
      <c r="E7" s="85"/>
      <c r="F7" s="85"/>
    </row>
    <row r="8" spans="1:6" x14ac:dyDescent="0.2">
      <c r="A8" t="s">
        <v>402</v>
      </c>
      <c r="B8" s="85">
        <f>FV(Returns!B5,'Final Investment'!B1,-'Final Investment'!B2*(1-'Final Investment'!B4),0)</f>
        <v>2361285.3628109344</v>
      </c>
    </row>
    <row r="9" spans="1:6" x14ac:dyDescent="0.2">
      <c r="A9" t="s">
        <v>403</v>
      </c>
      <c r="B9" s="85">
        <f>FV(Returns!B5*(1-'Final Investment'!B3),'Final Investment'!B1,-'Final Investment'!B2*(1-'Final Investment'!B3),0)</f>
        <v>1281527.4521585754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D613-2C3C-5E48-A876-CEEF2F692093}">
  <dimension ref="A1:M91"/>
  <sheetViews>
    <sheetView topLeftCell="A77" zoomScale="170" zoomScaleNormal="170" workbookViewId="0">
      <selection activeCell="D36" sqref="D36"/>
    </sheetView>
  </sheetViews>
  <sheetFormatPr baseColWidth="10" defaultColWidth="8.83203125" defaultRowHeight="16" x14ac:dyDescent="0.2"/>
  <cols>
    <col min="1" max="1" width="29.33203125" bestFit="1" customWidth="1"/>
    <col min="2" max="2" width="19.1640625" customWidth="1"/>
    <col min="3" max="3" width="27.6640625" customWidth="1"/>
    <col min="4" max="4" width="24.1640625" bestFit="1" customWidth="1"/>
    <col min="5" max="10" width="24.1640625" customWidth="1"/>
    <col min="11" max="11" width="12.1640625" customWidth="1"/>
    <col min="12" max="12" width="17.5" customWidth="1"/>
    <col min="14" max="14" width="17.1640625" bestFit="1" customWidth="1"/>
    <col min="15" max="15" width="10.33203125" customWidth="1"/>
    <col min="16" max="16" width="11.6640625" customWidth="1"/>
  </cols>
  <sheetData>
    <row r="1" spans="1:12" x14ac:dyDescent="0.2">
      <c r="A1" s="69" t="s">
        <v>315</v>
      </c>
      <c r="B1" s="69"/>
    </row>
    <row r="2" spans="1:12" x14ac:dyDescent="0.2">
      <c r="A2" s="20" t="s">
        <v>316</v>
      </c>
      <c r="B2" s="21">
        <v>149.77000000000001</v>
      </c>
      <c r="C2" s="22"/>
    </row>
    <row r="3" spans="1:12" x14ac:dyDescent="0.2">
      <c r="A3" s="23" t="s">
        <v>317</v>
      </c>
      <c r="B3" s="24">
        <v>0.42</v>
      </c>
      <c r="C3" s="22"/>
    </row>
    <row r="4" spans="1:12" x14ac:dyDescent="0.2">
      <c r="A4" s="23" t="s">
        <v>318</v>
      </c>
      <c r="B4" s="25">
        <f>Returns!F5</f>
        <v>0.1000301372469381</v>
      </c>
      <c r="C4" s="22"/>
      <c r="D4" s="3"/>
    </row>
    <row r="5" spans="1:12" x14ac:dyDescent="0.2">
      <c r="A5" s="23" t="s">
        <v>319</v>
      </c>
      <c r="B5" s="25">
        <f>Returns!K4</f>
        <v>9.6803958015696523E-3</v>
      </c>
      <c r="C5" s="22"/>
    </row>
    <row r="6" spans="1:12" x14ac:dyDescent="0.2">
      <c r="A6" s="23" t="s">
        <v>320</v>
      </c>
      <c r="B6" s="26">
        <f>Report!L105</f>
        <v>2539.1</v>
      </c>
      <c r="C6" s="22"/>
    </row>
    <row r="9" spans="1:12" x14ac:dyDescent="0.2">
      <c r="A9" s="70" t="s">
        <v>321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22"/>
    </row>
    <row r="10" spans="1:12" x14ac:dyDescent="0.2">
      <c r="A10" s="27"/>
      <c r="B10" s="28">
        <v>2013</v>
      </c>
      <c r="C10" s="28">
        <f>B10+1</f>
        <v>2014</v>
      </c>
      <c r="D10" s="28">
        <f t="shared" ref="D10:K10" si="0">C10+1</f>
        <v>2015</v>
      </c>
      <c r="E10" s="28">
        <f t="shared" si="0"/>
        <v>2016</v>
      </c>
      <c r="F10" s="28">
        <f t="shared" si="0"/>
        <v>2017</v>
      </c>
      <c r="G10" s="28">
        <f t="shared" si="0"/>
        <v>2018</v>
      </c>
      <c r="H10" s="28">
        <f t="shared" si="0"/>
        <v>2019</v>
      </c>
      <c r="I10" s="28">
        <f t="shared" si="0"/>
        <v>2020</v>
      </c>
      <c r="J10" s="28">
        <f t="shared" si="0"/>
        <v>2021</v>
      </c>
      <c r="K10" s="28">
        <f t="shared" si="0"/>
        <v>2022</v>
      </c>
      <c r="L10" s="22"/>
    </row>
    <row r="11" spans="1:12" x14ac:dyDescent="0.2">
      <c r="A11" s="23" t="s">
        <v>322</v>
      </c>
      <c r="B11" s="29">
        <f>Report!C68/Report!C105</f>
        <v>28.720057326144818</v>
      </c>
      <c r="C11" s="29">
        <f>Report!D68/Report!D105</f>
        <v>28.595724171170861</v>
      </c>
      <c r="D11" s="29">
        <f>Report!E68/Report!E105</f>
        <v>26.45269801636843</v>
      </c>
      <c r="E11" s="29">
        <f>Report!F68/Report!F105</f>
        <v>22.957038391224863</v>
      </c>
      <c r="F11" s="29">
        <f>Report!G68/Report!G105</f>
        <v>23.740329878849803</v>
      </c>
      <c r="G11" s="29">
        <f>Report!H68/Report!H105</f>
        <v>25.156020627093763</v>
      </c>
      <c r="H11" s="29">
        <f>Report!I68/Report!I105</f>
        <v>26.652490647765308</v>
      </c>
      <c r="I11" s="29">
        <f>Report!J68/Report!J105</f>
        <v>27.02033665930383</v>
      </c>
      <c r="J11" s="29">
        <f>Report!K68/Report!K105</f>
        <v>29.26489811610919</v>
      </c>
      <c r="K11" s="29">
        <f>Report!L68/Report!L105</f>
        <v>31.580875113229098</v>
      </c>
      <c r="L11" s="22"/>
    </row>
    <row r="12" spans="1:12" x14ac:dyDescent="0.2">
      <c r="A12" s="23" t="s">
        <v>323</v>
      </c>
      <c r="B12" s="29">
        <f>Report!C89/Report!C105</f>
        <v>3.8599604176619122</v>
      </c>
      <c r="C12" s="29">
        <f>Report!D89/Report!D105</f>
        <v>4.0083313250938133</v>
      </c>
      <c r="D12" s="29">
        <f>Report!E89/Report!E105</f>
        <v>2.4400055486197809</v>
      </c>
      <c r="E12" s="29">
        <f>Report!F89/Report!F105</f>
        <v>3.6942764730698916</v>
      </c>
      <c r="F12" s="29">
        <f>Report!G89/Report!G105</f>
        <v>5.5926142169026418</v>
      </c>
      <c r="G12" s="29">
        <f>Report!H89/Report!H105</f>
        <v>3.6699664997929764</v>
      </c>
      <c r="H12" s="29">
        <f>Report!I89/Report!I105</f>
        <v>1.5345540460720615</v>
      </c>
      <c r="I12" s="29">
        <f>Report!J89/Report!J105</f>
        <v>4.9611546957117829</v>
      </c>
      <c r="J12" s="29">
        <f>Report!K89/Report!K105</f>
        <v>5.5001922337562474</v>
      </c>
      <c r="K12" s="29">
        <f>Report!L89/Report!L105</f>
        <v>5.8059942499310777</v>
      </c>
      <c r="L12" s="22"/>
    </row>
    <row r="13" spans="1:12" x14ac:dyDescent="0.2">
      <c r="A13" s="23" t="s">
        <v>324</v>
      </c>
      <c r="B13" s="29">
        <f>Report!C60/Report!C105</f>
        <v>23.445369548897837</v>
      </c>
      <c r="C13" s="29">
        <f>Report!D60/Report!D105</f>
        <v>24.090611767136021</v>
      </c>
      <c r="D13" s="29">
        <f>Report!E60/Report!E105</f>
        <v>21.865029823831321</v>
      </c>
      <c r="E13" s="29">
        <f>Report!F60/Report!F105</f>
        <v>20.384966952608632</v>
      </c>
      <c r="F13" s="29">
        <f>Report!G60/Report!G105</f>
        <v>20.35396292512042</v>
      </c>
      <c r="G13" s="29">
        <f>Report!H60/Report!H105</f>
        <v>19.905521888056612</v>
      </c>
      <c r="H13" s="29">
        <f>Report!I60/Report!I105</f>
        <v>18.73557786965938</v>
      </c>
      <c r="I13" s="29">
        <f>Report!J60/Report!J105</f>
        <v>17.852844847284636</v>
      </c>
      <c r="J13" s="29">
        <f>Report!K60/Report!K105</f>
        <v>17.936947327950787</v>
      </c>
      <c r="K13" s="29">
        <f>Report!L60/Report!L105</f>
        <v>18.452995155763855</v>
      </c>
      <c r="L13" s="22"/>
    </row>
    <row r="14" spans="1:12" x14ac:dyDescent="0.2">
      <c r="A14" s="30" t="s">
        <v>325</v>
      </c>
      <c r="B14" s="29">
        <f>Report!C114/Report!C105</f>
        <v>2.224459155121818</v>
      </c>
      <c r="C14" s="29">
        <f>Report!D114/Report!D105</f>
        <v>2.3792474265845009</v>
      </c>
      <c r="D14" s="29">
        <f>Report!E114/Report!E105</f>
        <v>2.527049521431544</v>
      </c>
      <c r="E14" s="29">
        <f>Report!F114/Report!F105</f>
        <v>2.6142595978062158</v>
      </c>
      <c r="F14" s="29">
        <f>Report!G114/Report!G105</f>
        <v>2.6404904393519195</v>
      </c>
      <c r="G14" s="29">
        <f>Report!H114/Report!H105</f>
        <v>2.7515338577935036</v>
      </c>
      <c r="H14" s="29">
        <f>Report!I114/Report!I105</f>
        <v>2.9525497145107304</v>
      </c>
      <c r="I14" s="29">
        <f>Report!J114/Report!J105</f>
        <v>2.9663340696168783</v>
      </c>
      <c r="J14" s="29">
        <f>Report!K114/Report!K105</f>
        <v>3.1768550557477893</v>
      </c>
      <c r="K14" s="29">
        <f>Report!L114/Report!L105</f>
        <v>3.4539797566066719</v>
      </c>
      <c r="L14" s="22"/>
    </row>
    <row r="15" spans="1:12" x14ac:dyDescent="0.2">
      <c r="A15" s="23" t="s">
        <v>326</v>
      </c>
      <c r="B15" s="31">
        <f>B14/B12</f>
        <v>0.57629066478076374</v>
      </c>
      <c r="C15" s="31">
        <f t="shared" ref="C15:K15" si="1">C14/C12</f>
        <v>0.59357553895044235</v>
      </c>
      <c r="D15" s="31">
        <f t="shared" si="1"/>
        <v>1.035673678226265</v>
      </c>
      <c r="E15" s="31">
        <f t="shared" si="1"/>
        <v>0.7076513132851161</v>
      </c>
      <c r="F15" s="31">
        <f t="shared" si="1"/>
        <v>0.47213884901474623</v>
      </c>
      <c r="G15" s="31">
        <f t="shared" si="1"/>
        <v>0.74974358974358979</v>
      </c>
      <c r="H15" s="31">
        <f t="shared" si="1"/>
        <v>1.9240441365152681</v>
      </c>
      <c r="I15" s="31">
        <f t="shared" si="1"/>
        <v>0.59791202886313033</v>
      </c>
      <c r="J15" s="31">
        <f t="shared" si="1"/>
        <v>0.57758982245211798</v>
      </c>
      <c r="K15" s="31">
        <f t="shared" si="1"/>
        <v>0.59489892823226165</v>
      </c>
      <c r="L15" s="22"/>
    </row>
    <row r="16" spans="1:12" x14ac:dyDescent="0.2">
      <c r="A16" s="32" t="s">
        <v>327</v>
      </c>
      <c r="B16" s="33">
        <f>Report!C89/Report!C60</f>
        <v>0.16463636495946674</v>
      </c>
      <c r="C16" s="33">
        <f>Report!D89/Report!D60</f>
        <v>0.16638561792614612</v>
      </c>
      <c r="D16" s="33">
        <f>Report!E89/Report!E60</f>
        <v>0.111593973037272</v>
      </c>
      <c r="E16" s="33">
        <f>Report!F89/Report!F60</f>
        <v>0.18122553162133728</v>
      </c>
      <c r="F16" s="33">
        <f>Report!G89/Report!G60</f>
        <v>0.2747678296102406</v>
      </c>
      <c r="G16" s="33">
        <f>Report!H89/Report!H60</f>
        <v>0.18436926800673184</v>
      </c>
      <c r="H16" s="33">
        <f>Report!I89/Report!I60</f>
        <v>8.1905882847474729E-2</v>
      </c>
      <c r="I16" s="33">
        <f>Report!J89/Report!J60</f>
        <v>0.27789154827424378</v>
      </c>
      <c r="J16" s="33">
        <f>Report!K89/Report!K60</f>
        <v>0.30664037381574999</v>
      </c>
      <c r="K16" s="33">
        <f>Report!L89/Report!L60</f>
        <v>0.3146369573568959</v>
      </c>
      <c r="L16" s="72">
        <f>AVERAGE(B16:K16)</f>
        <v>0.20640533474555589</v>
      </c>
    </row>
    <row r="17" spans="1:13" x14ac:dyDescent="0.2">
      <c r="L17" s="22"/>
    </row>
    <row r="18" spans="1:13" x14ac:dyDescent="0.2">
      <c r="A18" s="69" t="s">
        <v>328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</row>
    <row r="19" spans="1:13" x14ac:dyDescent="0.2">
      <c r="A19" s="27"/>
      <c r="B19" s="34"/>
      <c r="C19" s="28">
        <f>C10</f>
        <v>2014</v>
      </c>
      <c r="D19" s="28">
        <f t="shared" ref="D19:K19" si="2">D10</f>
        <v>2015</v>
      </c>
      <c r="E19" s="28">
        <f t="shared" si="2"/>
        <v>2016</v>
      </c>
      <c r="F19" s="28">
        <f t="shared" si="2"/>
        <v>2017</v>
      </c>
      <c r="G19" s="28">
        <f t="shared" si="2"/>
        <v>2018</v>
      </c>
      <c r="H19" s="28">
        <f t="shared" si="2"/>
        <v>2019</v>
      </c>
      <c r="I19" s="28">
        <f t="shared" si="2"/>
        <v>2020</v>
      </c>
      <c r="J19" s="28">
        <f t="shared" si="2"/>
        <v>2021</v>
      </c>
      <c r="K19" s="28">
        <f t="shared" si="2"/>
        <v>2022</v>
      </c>
      <c r="L19" s="35" t="s">
        <v>329</v>
      </c>
    </row>
    <row r="20" spans="1:13" x14ac:dyDescent="0.2">
      <c r="A20" s="23" t="s">
        <v>330</v>
      </c>
      <c r="C20" s="36">
        <f>(C11-B11)/B11</f>
        <v>-4.3291402089498153E-3</v>
      </c>
      <c r="D20" s="36">
        <f t="shared" ref="D20:K20" si="3">(D11-C11)/C11</f>
        <v>-7.4942188628429635E-2</v>
      </c>
      <c r="E20" s="36">
        <f t="shared" si="3"/>
        <v>-0.13214756479586767</v>
      </c>
      <c r="F20" s="36">
        <f t="shared" si="3"/>
        <v>3.4119884031920525E-2</v>
      </c>
      <c r="G20" s="36">
        <f t="shared" si="3"/>
        <v>5.9632311575636351E-2</v>
      </c>
      <c r="H20" s="36">
        <f t="shared" si="3"/>
        <v>5.9487549436169698E-2</v>
      </c>
      <c r="I20" s="36">
        <f t="shared" si="3"/>
        <v>1.380156235302398E-2</v>
      </c>
      <c r="J20" s="36">
        <f t="shared" si="3"/>
        <v>8.3069337185053091E-2</v>
      </c>
      <c r="K20" s="36">
        <f t="shared" si="3"/>
        <v>7.9138392620784564E-2</v>
      </c>
      <c r="L20" s="37">
        <f>AVERAGE(C20:K20)</f>
        <v>1.309223817437123E-2</v>
      </c>
    </row>
    <row r="21" spans="1:13" x14ac:dyDescent="0.2">
      <c r="A21" s="38" t="s">
        <v>331</v>
      </c>
      <c r="C21" s="36">
        <f>(C12-B12)/ABS(B12)</f>
        <v>3.8438453086981017E-2</v>
      </c>
      <c r="D21" s="36">
        <f t="shared" ref="D21:K21" si="4">(D12-C12)/ABS(C12)</f>
        <v>-0.39126650201186308</v>
      </c>
      <c r="E21" s="36">
        <f t="shared" si="4"/>
        <v>0.51404429189089529</v>
      </c>
      <c r="F21" s="36">
        <f t="shared" si="4"/>
        <v>0.51385914337246619</v>
      </c>
      <c r="G21" s="36">
        <f t="shared" si="4"/>
        <v>-0.34378336186658798</v>
      </c>
      <c r="H21" s="36">
        <f t="shared" si="4"/>
        <v>-0.58186156572311321</v>
      </c>
      <c r="I21" s="36">
        <f t="shared" si="4"/>
        <v>2.2329618552117196</v>
      </c>
      <c r="J21" s="36">
        <f t="shared" si="4"/>
        <v>0.10865162872473746</v>
      </c>
      <c r="K21" s="36">
        <f t="shared" si="4"/>
        <v>5.5598423323831511E-2</v>
      </c>
      <c r="L21" s="37">
        <f t="shared" ref="L21:L24" si="5">AVERAGE(C21:K21)</f>
        <v>0.23851581844545189</v>
      </c>
    </row>
    <row r="22" spans="1:13" x14ac:dyDescent="0.2">
      <c r="A22" s="38" t="s">
        <v>332</v>
      </c>
      <c r="C22" s="36">
        <f>(C13-B13)/ABS(B13)</f>
        <v>2.7521093958125187E-2</v>
      </c>
      <c r="D22" s="36">
        <f t="shared" ref="D22:K22" si="6">(D13-C13)/ABS(C13)</f>
        <v>-9.2383786880032612E-2</v>
      </c>
      <c r="E22" s="36">
        <f t="shared" si="6"/>
        <v>-6.7690869079424995E-2</v>
      </c>
      <c r="F22" s="36">
        <f t="shared" si="6"/>
        <v>-1.5209260608707743E-3</v>
      </c>
      <c r="G22" s="36">
        <f t="shared" si="6"/>
        <v>-2.2032124098563262E-2</v>
      </c>
      <c r="H22" s="36">
        <f t="shared" si="6"/>
        <v>-5.8774847752130641E-2</v>
      </c>
      <c r="I22" s="36">
        <f t="shared" si="6"/>
        <v>-4.7115334713227729E-2</v>
      </c>
      <c r="J22" s="36">
        <f t="shared" si="6"/>
        <v>4.7108727704504669E-3</v>
      </c>
      <c r="K22" s="36">
        <f t="shared" si="6"/>
        <v>2.8770103316795786E-2</v>
      </c>
      <c r="L22" s="37">
        <f t="shared" si="5"/>
        <v>-2.5390646504319839E-2</v>
      </c>
    </row>
    <row r="23" spans="1:13" x14ac:dyDescent="0.2">
      <c r="A23" s="38" t="s">
        <v>333</v>
      </c>
      <c r="C23" s="36">
        <f>(C14-B14)/B14</f>
        <v>6.9584676844383894E-2</v>
      </c>
      <c r="D23" s="36">
        <f t="shared" ref="D23:K23" si="7">(D14-C14)/C14</f>
        <v>6.2121363753755765E-2</v>
      </c>
      <c r="E23" s="36">
        <f t="shared" si="7"/>
        <v>3.4510632116646539E-2</v>
      </c>
      <c r="F23" s="36">
        <f t="shared" si="7"/>
        <v>1.0033755472377594E-2</v>
      </c>
      <c r="G23" s="36">
        <f t="shared" si="7"/>
        <v>4.2054088432465025E-2</v>
      </c>
      <c r="H23" s="36">
        <f t="shared" si="7"/>
        <v>7.3055927023345638E-2</v>
      </c>
      <c r="I23" s="36">
        <f t="shared" si="7"/>
        <v>4.668627606303339E-3</v>
      </c>
      <c r="J23" s="36">
        <f t="shared" si="7"/>
        <v>7.0970086709788952E-2</v>
      </c>
      <c r="K23" s="36">
        <f t="shared" si="7"/>
        <v>8.7232403114359647E-2</v>
      </c>
      <c r="L23" s="37">
        <f t="shared" si="5"/>
        <v>5.0470173452602934E-2</v>
      </c>
    </row>
    <row r="24" spans="1:13" x14ac:dyDescent="0.2">
      <c r="A24" s="38" t="s">
        <v>334</v>
      </c>
      <c r="C24" s="36">
        <f>C16*(1-C15)</f>
        <v>6.7623185092031551E-2</v>
      </c>
      <c r="D24" s="36">
        <f t="shared" ref="D24:K24" si="8">D16*(1-D15)</f>
        <v>-3.9809674861221332E-3</v>
      </c>
      <c r="E24" s="36">
        <f t="shared" si="8"/>
        <v>5.2981046168704617E-2</v>
      </c>
      <c r="F24" s="36">
        <f t="shared" si="8"/>
        <v>0.1450392627917817</v>
      </c>
      <c r="G24" s="36">
        <f t="shared" si="8"/>
        <v>4.6139591172966732E-2</v>
      </c>
      <c r="H24" s="36">
        <f t="shared" si="8"/>
        <v>-7.5684650791315491E-2</v>
      </c>
      <c r="I24" s="36">
        <f t="shared" si="8"/>
        <v>0.11173684884167416</v>
      </c>
      <c r="J24" s="36">
        <f t="shared" si="8"/>
        <v>0.12952801474685988</v>
      </c>
      <c r="K24" s="36">
        <f t="shared" si="8"/>
        <v>0.12745976864301872</v>
      </c>
      <c r="L24" s="37">
        <f t="shared" si="5"/>
        <v>6.6760233242177752E-2</v>
      </c>
    </row>
    <row r="25" spans="1:13" x14ac:dyDescent="0.2">
      <c r="A25" s="32"/>
      <c r="B25" s="39"/>
      <c r="C25" s="39"/>
      <c r="D25" s="39"/>
      <c r="E25" s="39"/>
      <c r="F25" s="39"/>
      <c r="G25" s="39"/>
      <c r="H25" s="39"/>
      <c r="I25" s="39"/>
      <c r="J25" s="39"/>
      <c r="K25" s="40"/>
      <c r="L25" s="41">
        <f>AVERAGE(L20:L24)</f>
        <v>6.8689563362056782E-2</v>
      </c>
      <c r="M25" t="s">
        <v>335</v>
      </c>
    </row>
    <row r="28" spans="1:13" x14ac:dyDescent="0.2">
      <c r="A28" s="42" t="s">
        <v>336</v>
      </c>
      <c r="B28" s="42"/>
      <c r="C28" s="43"/>
    </row>
    <row r="29" spans="1:13" x14ac:dyDescent="0.2">
      <c r="A29" s="44" t="s">
        <v>337</v>
      </c>
      <c r="B29" s="45">
        <f>L25</f>
        <v>6.8689563362056782E-2</v>
      </c>
      <c r="D29" s="44" t="s">
        <v>338</v>
      </c>
      <c r="E29" s="46">
        <f>B2/B32</f>
        <v>24.137743071775034</v>
      </c>
      <c r="K29" s="47"/>
      <c r="L29" s="47"/>
    </row>
    <row r="30" spans="1:13" x14ac:dyDescent="0.2">
      <c r="A30" s="44" t="s">
        <v>339</v>
      </c>
      <c r="B30" s="48">
        <v>25</v>
      </c>
      <c r="C30" t="s">
        <v>340</v>
      </c>
      <c r="D30" s="44" t="s">
        <v>341</v>
      </c>
      <c r="E30" s="46">
        <f>E29/(100*B29)</f>
        <v>3.5140335576959583</v>
      </c>
    </row>
    <row r="31" spans="1:13" x14ac:dyDescent="0.2">
      <c r="A31" s="44" t="s">
        <v>342</v>
      </c>
      <c r="B31" s="46">
        <f>K12</f>
        <v>5.8059942499310777</v>
      </c>
    </row>
    <row r="32" spans="1:13" x14ac:dyDescent="0.2">
      <c r="A32" s="44" t="s">
        <v>343</v>
      </c>
      <c r="B32" s="46">
        <f>B31*(1+B29)</f>
        <v>6.2048054598414559</v>
      </c>
      <c r="D32" s="22"/>
      <c r="E32" s="22"/>
      <c r="F32" s="22"/>
      <c r="G32" s="22"/>
      <c r="H32" s="22"/>
      <c r="I32" s="22"/>
      <c r="J32" s="22"/>
      <c r="K32" s="22"/>
      <c r="L32" s="22"/>
    </row>
    <row r="33" spans="1:12" x14ac:dyDescent="0.2">
      <c r="A33" s="49" t="s">
        <v>344</v>
      </c>
      <c r="B33" s="50">
        <f>B32*B30</f>
        <v>155.12013649603639</v>
      </c>
      <c r="C33" s="56">
        <f>B33-B2</f>
        <v>5.3501364960363844</v>
      </c>
      <c r="D33" s="22"/>
      <c r="E33" s="22"/>
      <c r="F33" s="22"/>
      <c r="G33" s="22"/>
      <c r="H33" s="22"/>
      <c r="I33" s="22"/>
      <c r="J33" s="22"/>
      <c r="K33" s="22"/>
      <c r="L33" s="22"/>
    </row>
    <row r="34" spans="1:12" x14ac:dyDescent="0.2">
      <c r="K34" s="22"/>
      <c r="L34" s="22"/>
    </row>
    <row r="35" spans="1:12" x14ac:dyDescent="0.2">
      <c r="A35" s="42" t="s">
        <v>345</v>
      </c>
      <c r="B35" s="42"/>
      <c r="K35" s="22"/>
      <c r="L35" s="22"/>
    </row>
    <row r="36" spans="1:12" x14ac:dyDescent="0.2">
      <c r="A36" s="44" t="s">
        <v>337</v>
      </c>
      <c r="B36" s="45">
        <f>L25</f>
        <v>6.8689563362056782E-2</v>
      </c>
      <c r="K36" s="22"/>
      <c r="L36" s="22"/>
    </row>
    <row r="37" spans="1:12" x14ac:dyDescent="0.2">
      <c r="A37" s="44" t="s">
        <v>346</v>
      </c>
      <c r="B37" s="48">
        <v>8</v>
      </c>
      <c r="C37" t="s">
        <v>340</v>
      </c>
      <c r="K37" s="22"/>
      <c r="L37" s="22"/>
    </row>
    <row r="38" spans="1:12" x14ac:dyDescent="0.2">
      <c r="A38" s="44" t="s">
        <v>347</v>
      </c>
      <c r="B38" s="46">
        <f>K13</f>
        <v>18.452995155763855</v>
      </c>
      <c r="K38" s="22"/>
      <c r="L38" s="22"/>
    </row>
    <row r="39" spans="1:12" x14ac:dyDescent="0.2">
      <c r="A39" s="44" t="s">
        <v>348</v>
      </c>
      <c r="B39" s="46">
        <f>B38*(1+B36)</f>
        <v>19.720523335735422</v>
      </c>
      <c r="K39" s="22"/>
      <c r="L39" s="22"/>
    </row>
    <row r="40" spans="1:12" x14ac:dyDescent="0.2">
      <c r="A40" s="49" t="s">
        <v>349</v>
      </c>
      <c r="B40" s="50">
        <f>B39*B37</f>
        <v>157.76418668588337</v>
      </c>
      <c r="K40" s="22"/>
      <c r="L40" s="22"/>
    </row>
    <row r="41" spans="1:12" x14ac:dyDescent="0.2">
      <c r="K41" s="22"/>
      <c r="L41" s="22"/>
    </row>
    <row r="42" spans="1:12" x14ac:dyDescent="0.2">
      <c r="A42" s="42" t="s">
        <v>350</v>
      </c>
      <c r="B42" s="42"/>
      <c r="K42" s="22"/>
      <c r="L42" s="22"/>
    </row>
    <row r="43" spans="1:12" x14ac:dyDescent="0.2">
      <c r="A43" s="23" t="s">
        <v>351</v>
      </c>
      <c r="B43" s="25">
        <f>B5+(B3*(B4-B5))</f>
        <v>4.76272872086244E-2</v>
      </c>
      <c r="K43" s="22"/>
      <c r="L43" s="22"/>
    </row>
    <row r="44" spans="1:12" x14ac:dyDescent="0.2">
      <c r="A44" s="23" t="s">
        <v>352</v>
      </c>
      <c r="B44" s="51">
        <v>0.02</v>
      </c>
      <c r="K44" s="22"/>
      <c r="L44" s="22"/>
    </row>
    <row r="45" spans="1:12" x14ac:dyDescent="0.2">
      <c r="A45" s="23" t="s">
        <v>353</v>
      </c>
      <c r="B45" s="52">
        <f>K14</f>
        <v>3.4539797566066719</v>
      </c>
      <c r="K45" s="22"/>
      <c r="L45" s="22"/>
    </row>
    <row r="46" spans="1:12" x14ac:dyDescent="0.2">
      <c r="A46" t="s">
        <v>354</v>
      </c>
      <c r="B46" s="53">
        <f>B45*(1+B44)</f>
        <v>3.5230593517388056</v>
      </c>
      <c r="K46" s="22"/>
      <c r="L46" s="22"/>
    </row>
    <row r="47" spans="1:12" x14ac:dyDescent="0.2">
      <c r="A47" s="40" t="s">
        <v>355</v>
      </c>
      <c r="B47" s="50">
        <f>B46/(B43-B44)</f>
        <v>127.52100215757027</v>
      </c>
      <c r="K47" s="22"/>
      <c r="L47" s="22"/>
    </row>
    <row r="48" spans="1:12" x14ac:dyDescent="0.2">
      <c r="A48" s="40"/>
      <c r="B48" s="54"/>
      <c r="K48" s="22"/>
      <c r="L48" s="22"/>
    </row>
    <row r="49" spans="1:12" x14ac:dyDescent="0.2">
      <c r="A49" s="42" t="s">
        <v>356</v>
      </c>
      <c r="B49" s="42"/>
      <c r="C49" s="43"/>
      <c r="D49" s="22"/>
      <c r="E49" s="22"/>
      <c r="F49" s="22"/>
      <c r="G49" s="22"/>
      <c r="H49" s="22"/>
      <c r="I49" s="22"/>
      <c r="J49" s="22"/>
      <c r="K49" s="22"/>
      <c r="L49" s="22"/>
    </row>
    <row r="50" spans="1:12" x14ac:dyDescent="0.2">
      <c r="A50" s="23" t="s">
        <v>351</v>
      </c>
      <c r="B50" s="25">
        <f>B43</f>
        <v>4.76272872086244E-2</v>
      </c>
      <c r="C50" s="23"/>
      <c r="D50" s="22"/>
      <c r="E50" s="22"/>
      <c r="F50" s="22"/>
      <c r="G50" s="22"/>
      <c r="H50" s="22"/>
      <c r="I50" s="22"/>
      <c r="J50" s="22"/>
    </row>
    <row r="51" spans="1:12" x14ac:dyDescent="0.2">
      <c r="A51" t="s">
        <v>357</v>
      </c>
      <c r="B51" s="53">
        <f>Report!L60</f>
        <v>46854</v>
      </c>
      <c r="C51" s="23"/>
      <c r="D51" s="22"/>
      <c r="E51" s="22"/>
      <c r="F51" s="22"/>
      <c r="G51" s="22"/>
      <c r="H51" s="22"/>
      <c r="I51" s="22"/>
      <c r="J51" s="22"/>
    </row>
    <row r="52" spans="1:12" x14ac:dyDescent="0.2">
      <c r="A52" t="s">
        <v>358</v>
      </c>
      <c r="B52" s="53">
        <f>B51*B50</f>
        <v>2231.5289148728875</v>
      </c>
      <c r="C52" s="23"/>
      <c r="D52" s="22"/>
      <c r="E52" s="22"/>
      <c r="F52" s="22"/>
      <c r="G52" s="22"/>
      <c r="H52" s="22"/>
      <c r="I52" s="22"/>
      <c r="J52" s="22"/>
    </row>
    <row r="53" spans="1:12" x14ac:dyDescent="0.2">
      <c r="A53" s="23" t="s">
        <v>352</v>
      </c>
      <c r="B53" s="51">
        <f>B44</f>
        <v>0.02</v>
      </c>
      <c r="D53" s="23"/>
      <c r="E53" s="23"/>
      <c r="F53" s="23"/>
      <c r="G53" s="23"/>
      <c r="H53" s="23"/>
      <c r="I53" s="23"/>
      <c r="J53" s="23"/>
      <c r="K53" s="55"/>
      <c r="L53" s="23"/>
    </row>
    <row r="54" spans="1:12" x14ac:dyDescent="0.2">
      <c r="A54" t="s">
        <v>359</v>
      </c>
      <c r="B54" s="53">
        <f>Report!L89*(1+'Stock Valuation'!B53)</f>
        <v>15036.84</v>
      </c>
      <c r="D54" s="23"/>
      <c r="E54" s="23"/>
      <c r="F54" s="23"/>
      <c r="G54" s="23"/>
      <c r="H54" s="23"/>
      <c r="I54" s="23"/>
      <c r="J54" s="23"/>
      <c r="K54" s="55"/>
      <c r="L54" s="23"/>
    </row>
    <row r="55" spans="1:12" x14ac:dyDescent="0.2">
      <c r="A55" t="s">
        <v>360</v>
      </c>
      <c r="B55" s="53">
        <f>B54-B52</f>
        <v>12805.311085127112</v>
      </c>
      <c r="C55" s="56"/>
      <c r="K55" s="55"/>
      <c r="L55" s="23"/>
    </row>
    <row r="56" spans="1:12" x14ac:dyDescent="0.2">
      <c r="A56" s="40" t="s">
        <v>361</v>
      </c>
      <c r="B56" s="50">
        <f>(B51+(B55/(B50-B53)))/B6</f>
        <v>200.99889612328377</v>
      </c>
      <c r="K56" s="23"/>
      <c r="L56" s="23"/>
    </row>
    <row r="57" spans="1:12" x14ac:dyDescent="0.2">
      <c r="K57" s="23"/>
      <c r="L57" s="23"/>
    </row>
    <row r="58" spans="1:12" x14ac:dyDescent="0.2">
      <c r="A58" s="42" t="s">
        <v>362</v>
      </c>
      <c r="B58" s="42"/>
      <c r="C58" s="43"/>
      <c r="K58" s="23"/>
      <c r="L58" s="23"/>
    </row>
    <row r="59" spans="1:12" x14ac:dyDescent="0.2">
      <c r="A59" s="23" t="s">
        <v>363</v>
      </c>
      <c r="B59" s="57">
        <f>B2*B6</f>
        <v>380281.00700000004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1:12" x14ac:dyDescent="0.2">
      <c r="A60" s="23" t="s">
        <v>364</v>
      </c>
      <c r="B60" s="57">
        <f>Report!L53+Report!L38+Report!L43</f>
        <v>31304</v>
      </c>
      <c r="C60" s="22"/>
      <c r="K60" s="23"/>
      <c r="L60" s="23"/>
    </row>
    <row r="61" spans="1:12" x14ac:dyDescent="0.2">
      <c r="A61" s="23" t="s">
        <v>365</v>
      </c>
      <c r="B61" s="25">
        <f>B59/SUM(B59:B60)</f>
        <v>0.92394280776121662</v>
      </c>
      <c r="C61" s="23"/>
      <c r="K61" s="23"/>
      <c r="L61" s="23"/>
    </row>
    <row r="62" spans="1:12" ht="18" x14ac:dyDescent="0.25">
      <c r="A62" s="23" t="s">
        <v>366</v>
      </c>
      <c r="B62" s="25">
        <f>B60/SUM(B59:B60)</f>
        <v>7.6057192238783364E-2</v>
      </c>
      <c r="C62" s="38"/>
      <c r="K62" s="58"/>
      <c r="L62" s="58"/>
    </row>
    <row r="63" spans="1:12" x14ac:dyDescent="0.2">
      <c r="A63" s="23" t="s">
        <v>367</v>
      </c>
      <c r="B63" s="59">
        <f>B50</f>
        <v>4.76272872086244E-2</v>
      </c>
      <c r="C63" s="23"/>
      <c r="K63" s="23"/>
      <c r="L63" s="23"/>
    </row>
    <row r="64" spans="1:12" x14ac:dyDescent="0.2">
      <c r="A64" s="23" t="s">
        <v>368</v>
      </c>
      <c r="B64" s="25">
        <f>Report!L78/'Stock Valuation'!B60</f>
        <v>1.4023766930743675E-2</v>
      </c>
      <c r="C64" s="22"/>
      <c r="K64" s="23"/>
      <c r="L64" s="60"/>
    </row>
    <row r="65" spans="1:12" x14ac:dyDescent="0.2">
      <c r="A65" s="23" t="s">
        <v>369</v>
      </c>
      <c r="B65" s="25">
        <f>Report!L83/Report!L82</f>
        <v>0.17793831619894415</v>
      </c>
      <c r="C65" s="22"/>
      <c r="K65" s="23"/>
      <c r="L65" s="23"/>
    </row>
    <row r="66" spans="1:12" x14ac:dyDescent="0.2">
      <c r="A66" s="23" t="s">
        <v>370</v>
      </c>
      <c r="B66" s="25">
        <f>(B61*B63)+(B62*B64*(1-B65))</f>
        <v>4.4881707315355561E-2</v>
      </c>
      <c r="C66" s="22"/>
      <c r="D66" s="61"/>
      <c r="E66" s="61"/>
      <c r="F66" s="61"/>
      <c r="G66" s="61"/>
      <c r="H66" s="61"/>
      <c r="I66" s="61"/>
      <c r="J66" s="61"/>
      <c r="K66" s="23"/>
      <c r="L66" s="23"/>
    </row>
    <row r="67" spans="1:12" x14ac:dyDescent="0.2">
      <c r="C67" s="22"/>
      <c r="K67" s="23"/>
      <c r="L67" s="23"/>
    </row>
    <row r="68" spans="1:12" x14ac:dyDescent="0.2">
      <c r="A68" s="23" t="s">
        <v>371</v>
      </c>
      <c r="B68" s="57">
        <f>Report!L77</f>
        <v>17813</v>
      </c>
      <c r="C68" s="22"/>
      <c r="K68" s="23"/>
      <c r="L68" s="23"/>
    </row>
    <row r="69" spans="1:12" x14ac:dyDescent="0.2">
      <c r="A69" s="23" t="s">
        <v>369</v>
      </c>
      <c r="B69" s="25">
        <f>B65</f>
        <v>0.17793831619894415</v>
      </c>
      <c r="C69" s="23"/>
      <c r="K69" s="23"/>
      <c r="L69" s="23"/>
    </row>
    <row r="70" spans="1:12" x14ac:dyDescent="0.2">
      <c r="A70" s="23" t="s">
        <v>372</v>
      </c>
      <c r="B70" s="57">
        <f>Report!L75</f>
        <v>2807</v>
      </c>
      <c r="C70" s="23"/>
      <c r="K70" s="23"/>
      <c r="L70" s="23"/>
    </row>
    <row r="71" spans="1:12" x14ac:dyDescent="0.2">
      <c r="A71" s="23" t="s">
        <v>373</v>
      </c>
      <c r="B71" s="57">
        <f>Report!L151</f>
        <v>3156</v>
      </c>
      <c r="C71" s="23"/>
      <c r="K71" s="23"/>
      <c r="L71" s="23"/>
    </row>
    <row r="72" spans="1:12" x14ac:dyDescent="0.2">
      <c r="A72" s="23" t="s">
        <v>374</v>
      </c>
      <c r="B72" s="57">
        <f>(Report!L18-Report!L41)-(Report!K18-Report!K41)</f>
        <v>-1387</v>
      </c>
      <c r="C72" s="23"/>
      <c r="K72" s="23"/>
      <c r="L72" s="23"/>
    </row>
    <row r="73" spans="1:12" x14ac:dyDescent="0.2">
      <c r="A73" s="23" t="s">
        <v>375</v>
      </c>
      <c r="B73" s="57">
        <f>(B68*(1-B69)+B70)-(B71+B72)</f>
        <v>15681.384773548205</v>
      </c>
      <c r="C73" s="23"/>
      <c r="K73" s="23"/>
      <c r="L73" s="23"/>
    </row>
    <row r="74" spans="1:12" x14ac:dyDescent="0.2">
      <c r="C74" s="58"/>
      <c r="K74" s="23"/>
      <c r="L74" s="23"/>
    </row>
    <row r="75" spans="1:12" x14ac:dyDescent="0.2">
      <c r="A75" s="23" t="s">
        <v>352</v>
      </c>
      <c r="B75" s="51">
        <f>B44</f>
        <v>0.02</v>
      </c>
      <c r="K75" s="23"/>
      <c r="L75" s="23"/>
    </row>
    <row r="76" spans="1:12" x14ac:dyDescent="0.2">
      <c r="A76" s="23" t="s">
        <v>376</v>
      </c>
      <c r="B76" s="57">
        <f>(B73*(1+B75))/(B66-B75)-B60</f>
        <v>611538.24013630953</v>
      </c>
      <c r="K76" s="22"/>
      <c r="L76" s="22"/>
    </row>
    <row r="77" spans="1:12" x14ac:dyDescent="0.2">
      <c r="A77" s="32" t="s">
        <v>377</v>
      </c>
      <c r="B77" s="50">
        <f>B76/B6</f>
        <v>240.84842666153739</v>
      </c>
      <c r="K77" s="22"/>
      <c r="L77" s="22"/>
    </row>
    <row r="78" spans="1:12" x14ac:dyDescent="0.2">
      <c r="D78" s="22"/>
      <c r="E78" s="22"/>
      <c r="F78" s="22"/>
      <c r="G78" s="22"/>
      <c r="H78" s="22"/>
      <c r="I78" s="22"/>
      <c r="J78" s="22"/>
      <c r="K78" s="22"/>
      <c r="L78" s="22"/>
    </row>
    <row r="79" spans="1:12" x14ac:dyDescent="0.2">
      <c r="D79" s="22"/>
      <c r="E79" s="22"/>
      <c r="F79" s="22"/>
      <c r="G79" s="22"/>
      <c r="H79" s="22"/>
      <c r="I79" s="22"/>
      <c r="J79" s="22"/>
      <c r="K79" s="22"/>
      <c r="L79" s="22"/>
    </row>
    <row r="80" spans="1:12" x14ac:dyDescent="0.2">
      <c r="A80" s="69" t="s">
        <v>378</v>
      </c>
      <c r="B80" s="69"/>
      <c r="C80" s="69"/>
      <c r="D80" s="22"/>
      <c r="E80" s="22"/>
      <c r="F80" s="22"/>
      <c r="G80" s="22"/>
      <c r="H80" s="22"/>
      <c r="I80" s="22"/>
      <c r="J80" s="22"/>
      <c r="K80" s="22"/>
      <c r="L80" s="22"/>
    </row>
    <row r="81" spans="1:12" x14ac:dyDescent="0.2">
      <c r="A81" t="s">
        <v>379</v>
      </c>
      <c r="B81" t="s">
        <v>380</v>
      </c>
      <c r="C81" t="s">
        <v>381</v>
      </c>
      <c r="D81" s="22"/>
      <c r="E81" s="22"/>
      <c r="F81" s="22"/>
      <c r="G81" s="22"/>
      <c r="H81" s="22"/>
      <c r="I81" s="22"/>
      <c r="J81" s="22"/>
      <c r="K81" s="22"/>
      <c r="L81" s="22"/>
    </row>
    <row r="82" spans="1:12" x14ac:dyDescent="0.2">
      <c r="A82" t="s">
        <v>382</v>
      </c>
      <c r="B82" s="62">
        <v>0.3</v>
      </c>
      <c r="C82" s="63">
        <f>B33</f>
        <v>155.12013649603639</v>
      </c>
      <c r="K82" s="22"/>
      <c r="L82" s="22"/>
    </row>
    <row r="83" spans="1:12" x14ac:dyDescent="0.2">
      <c r="A83" t="s">
        <v>383</v>
      </c>
      <c r="B83" s="62">
        <v>0.3</v>
      </c>
      <c r="C83" s="63">
        <f>B40</f>
        <v>157.76418668588337</v>
      </c>
      <c r="K83" s="22"/>
      <c r="L83" s="22"/>
    </row>
    <row r="84" spans="1:12" x14ac:dyDescent="0.2">
      <c r="A84" t="s">
        <v>384</v>
      </c>
      <c r="B84" s="62">
        <v>0.15</v>
      </c>
      <c r="C84" s="63">
        <f>B47</f>
        <v>127.52100215757027</v>
      </c>
      <c r="K84" s="22"/>
      <c r="L84" s="22"/>
    </row>
    <row r="85" spans="1:12" x14ac:dyDescent="0.2">
      <c r="A85" t="s">
        <v>385</v>
      </c>
      <c r="B85" s="62">
        <v>0.15</v>
      </c>
      <c r="C85" s="63">
        <f>B56</f>
        <v>200.99889612328377</v>
      </c>
      <c r="K85" s="22"/>
      <c r="L85" s="22"/>
    </row>
    <row r="86" spans="1:12" x14ac:dyDescent="0.2">
      <c r="A86" t="s">
        <v>386</v>
      </c>
      <c r="B86" s="62">
        <v>0.1</v>
      </c>
      <c r="C86" s="63">
        <f>B77</f>
        <v>240.84842666153739</v>
      </c>
      <c r="K86" s="22"/>
      <c r="L86" s="22"/>
    </row>
    <row r="87" spans="1:12" ht="17" thickBot="1" x14ac:dyDescent="0.25">
      <c r="B87" s="3">
        <f>SUM(B82:B86)</f>
        <v>1</v>
      </c>
      <c r="K87" s="22"/>
      <c r="L87" s="22"/>
    </row>
    <row r="88" spans="1:12" ht="21" thickBot="1" x14ac:dyDescent="0.25">
      <c r="B88" t="s">
        <v>378</v>
      </c>
      <c r="C88" s="64">
        <f>SUMPRODUCT(B82:B86,C82:C86)</f>
        <v>167.22812436285778</v>
      </c>
      <c r="K88" s="22"/>
      <c r="L88" s="22"/>
    </row>
    <row r="89" spans="1:12" ht="21" thickBot="1" x14ac:dyDescent="0.25">
      <c r="B89" t="s">
        <v>387</v>
      </c>
      <c r="C89" s="65">
        <f>B2</f>
        <v>149.77000000000001</v>
      </c>
      <c r="K89" s="22"/>
      <c r="L89" s="22"/>
    </row>
    <row r="90" spans="1:12" ht="21" thickBot="1" x14ac:dyDescent="0.25">
      <c r="B90" t="s">
        <v>388</v>
      </c>
      <c r="C90" s="66">
        <f>(C88-C89)/C88</f>
        <v>0.10439705898378965</v>
      </c>
      <c r="K90" s="22"/>
      <c r="L90" s="22"/>
    </row>
    <row r="91" spans="1:12" x14ac:dyDescent="0.2">
      <c r="K91" s="22"/>
      <c r="L91" s="22"/>
    </row>
  </sheetData>
  <mergeCells count="4">
    <mergeCell ref="A1:B1"/>
    <mergeCell ref="A9:K9"/>
    <mergeCell ref="A18:L18"/>
    <mergeCell ref="A80:C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550A-B061-384D-B279-AE71F31FBB0E}">
  <dimension ref="A1:L386"/>
  <sheetViews>
    <sheetView topLeftCell="A44" workbookViewId="0">
      <selection activeCell="F352" sqref="F352"/>
    </sheetView>
  </sheetViews>
  <sheetFormatPr baseColWidth="10" defaultColWidth="8.83203125" defaultRowHeight="16" x14ac:dyDescent="0.2"/>
  <cols>
    <col min="1" max="1" width="41.6640625" customWidth="1"/>
    <col min="2" max="2" width="3.33203125" customWidth="1"/>
    <col min="3" max="3" width="13.33203125" customWidth="1"/>
    <col min="4" max="14" width="10.83203125" bestFit="1" customWidth="1"/>
    <col min="15" max="15" width="8.6640625" bestFit="1" customWidth="1"/>
    <col min="257" max="257" width="41.6640625" customWidth="1"/>
    <col min="258" max="258" width="3.33203125" customWidth="1"/>
    <col min="259" max="259" width="13.33203125" customWidth="1"/>
    <col min="260" max="270" width="10.83203125" bestFit="1" customWidth="1"/>
    <col min="271" max="271" width="8.6640625" bestFit="1" customWidth="1"/>
    <col min="513" max="513" width="41.6640625" customWidth="1"/>
    <col min="514" max="514" width="3.33203125" customWidth="1"/>
    <col min="515" max="515" width="13.33203125" customWidth="1"/>
    <col min="516" max="526" width="10.83203125" bestFit="1" customWidth="1"/>
    <col min="527" max="527" width="8.6640625" bestFit="1" customWidth="1"/>
    <col min="769" max="769" width="41.6640625" customWidth="1"/>
    <col min="770" max="770" width="3.33203125" customWidth="1"/>
    <col min="771" max="771" width="13.33203125" customWidth="1"/>
    <col min="772" max="782" width="10.83203125" bestFit="1" customWidth="1"/>
    <col min="783" max="783" width="8.6640625" bestFit="1" customWidth="1"/>
    <col min="1025" max="1025" width="41.6640625" customWidth="1"/>
    <col min="1026" max="1026" width="3.33203125" customWidth="1"/>
    <col min="1027" max="1027" width="13.33203125" customWidth="1"/>
    <col min="1028" max="1038" width="10.83203125" bestFit="1" customWidth="1"/>
    <col min="1039" max="1039" width="8.6640625" bestFit="1" customWidth="1"/>
    <col min="1281" max="1281" width="41.6640625" customWidth="1"/>
    <col min="1282" max="1282" width="3.33203125" customWidth="1"/>
    <col min="1283" max="1283" width="13.33203125" customWidth="1"/>
    <col min="1284" max="1294" width="10.83203125" bestFit="1" customWidth="1"/>
    <col min="1295" max="1295" width="8.6640625" bestFit="1" customWidth="1"/>
    <col min="1537" max="1537" width="41.6640625" customWidth="1"/>
    <col min="1538" max="1538" width="3.33203125" customWidth="1"/>
    <col min="1539" max="1539" width="13.33203125" customWidth="1"/>
    <col min="1540" max="1550" width="10.83203125" bestFit="1" customWidth="1"/>
    <col min="1551" max="1551" width="8.6640625" bestFit="1" customWidth="1"/>
    <col min="1793" max="1793" width="41.6640625" customWidth="1"/>
    <col min="1794" max="1794" width="3.33203125" customWidth="1"/>
    <col min="1795" max="1795" width="13.33203125" customWidth="1"/>
    <col min="1796" max="1806" width="10.83203125" bestFit="1" customWidth="1"/>
    <col min="1807" max="1807" width="8.6640625" bestFit="1" customWidth="1"/>
    <col min="2049" max="2049" width="41.6640625" customWidth="1"/>
    <col min="2050" max="2050" width="3.33203125" customWidth="1"/>
    <col min="2051" max="2051" width="13.33203125" customWidth="1"/>
    <col min="2052" max="2062" width="10.83203125" bestFit="1" customWidth="1"/>
    <col min="2063" max="2063" width="8.6640625" bestFit="1" customWidth="1"/>
    <col min="2305" max="2305" width="41.6640625" customWidth="1"/>
    <col min="2306" max="2306" width="3.33203125" customWidth="1"/>
    <col min="2307" max="2307" width="13.33203125" customWidth="1"/>
    <col min="2308" max="2318" width="10.83203125" bestFit="1" customWidth="1"/>
    <col min="2319" max="2319" width="8.6640625" bestFit="1" customWidth="1"/>
    <col min="2561" max="2561" width="41.6640625" customWidth="1"/>
    <col min="2562" max="2562" width="3.33203125" customWidth="1"/>
    <col min="2563" max="2563" width="13.33203125" customWidth="1"/>
    <col min="2564" max="2574" width="10.83203125" bestFit="1" customWidth="1"/>
    <col min="2575" max="2575" width="8.6640625" bestFit="1" customWidth="1"/>
    <col min="2817" max="2817" width="41.6640625" customWidth="1"/>
    <col min="2818" max="2818" width="3.33203125" customWidth="1"/>
    <col min="2819" max="2819" width="13.33203125" customWidth="1"/>
    <col min="2820" max="2830" width="10.83203125" bestFit="1" customWidth="1"/>
    <col min="2831" max="2831" width="8.6640625" bestFit="1" customWidth="1"/>
    <col min="3073" max="3073" width="41.6640625" customWidth="1"/>
    <col min="3074" max="3074" width="3.33203125" customWidth="1"/>
    <col min="3075" max="3075" width="13.33203125" customWidth="1"/>
    <col min="3076" max="3086" width="10.83203125" bestFit="1" customWidth="1"/>
    <col min="3087" max="3087" width="8.6640625" bestFit="1" customWidth="1"/>
    <col min="3329" max="3329" width="41.6640625" customWidth="1"/>
    <col min="3330" max="3330" width="3.33203125" customWidth="1"/>
    <col min="3331" max="3331" width="13.33203125" customWidth="1"/>
    <col min="3332" max="3342" width="10.83203125" bestFit="1" customWidth="1"/>
    <col min="3343" max="3343" width="8.6640625" bestFit="1" customWidth="1"/>
    <col min="3585" max="3585" width="41.6640625" customWidth="1"/>
    <col min="3586" max="3586" width="3.33203125" customWidth="1"/>
    <col min="3587" max="3587" width="13.33203125" customWidth="1"/>
    <col min="3588" max="3598" width="10.83203125" bestFit="1" customWidth="1"/>
    <col min="3599" max="3599" width="8.6640625" bestFit="1" customWidth="1"/>
    <col min="3841" max="3841" width="41.6640625" customWidth="1"/>
    <col min="3842" max="3842" width="3.33203125" customWidth="1"/>
    <col min="3843" max="3843" width="13.33203125" customWidth="1"/>
    <col min="3844" max="3854" width="10.83203125" bestFit="1" customWidth="1"/>
    <col min="3855" max="3855" width="8.6640625" bestFit="1" customWidth="1"/>
    <col min="4097" max="4097" width="41.6640625" customWidth="1"/>
    <col min="4098" max="4098" width="3.33203125" customWidth="1"/>
    <col min="4099" max="4099" width="13.33203125" customWidth="1"/>
    <col min="4100" max="4110" width="10.83203125" bestFit="1" customWidth="1"/>
    <col min="4111" max="4111" width="8.6640625" bestFit="1" customWidth="1"/>
    <col min="4353" max="4353" width="41.6640625" customWidth="1"/>
    <col min="4354" max="4354" width="3.33203125" customWidth="1"/>
    <col min="4355" max="4355" width="13.33203125" customWidth="1"/>
    <col min="4356" max="4366" width="10.83203125" bestFit="1" customWidth="1"/>
    <col min="4367" max="4367" width="8.6640625" bestFit="1" customWidth="1"/>
    <col min="4609" max="4609" width="41.6640625" customWidth="1"/>
    <col min="4610" max="4610" width="3.33203125" customWidth="1"/>
    <col min="4611" max="4611" width="13.33203125" customWidth="1"/>
    <col min="4612" max="4622" width="10.83203125" bestFit="1" customWidth="1"/>
    <col min="4623" max="4623" width="8.6640625" bestFit="1" customWidth="1"/>
    <col min="4865" max="4865" width="41.6640625" customWidth="1"/>
    <col min="4866" max="4866" width="3.33203125" customWidth="1"/>
    <col min="4867" max="4867" width="13.33203125" customWidth="1"/>
    <col min="4868" max="4878" width="10.83203125" bestFit="1" customWidth="1"/>
    <col min="4879" max="4879" width="8.6640625" bestFit="1" customWidth="1"/>
    <col min="5121" max="5121" width="41.6640625" customWidth="1"/>
    <col min="5122" max="5122" width="3.33203125" customWidth="1"/>
    <col min="5123" max="5123" width="13.33203125" customWidth="1"/>
    <col min="5124" max="5134" width="10.83203125" bestFit="1" customWidth="1"/>
    <col min="5135" max="5135" width="8.6640625" bestFit="1" customWidth="1"/>
    <col min="5377" max="5377" width="41.6640625" customWidth="1"/>
    <col min="5378" max="5378" width="3.33203125" customWidth="1"/>
    <col min="5379" max="5379" width="13.33203125" customWidth="1"/>
    <col min="5380" max="5390" width="10.83203125" bestFit="1" customWidth="1"/>
    <col min="5391" max="5391" width="8.6640625" bestFit="1" customWidth="1"/>
    <col min="5633" max="5633" width="41.6640625" customWidth="1"/>
    <col min="5634" max="5634" width="3.33203125" customWidth="1"/>
    <col min="5635" max="5635" width="13.33203125" customWidth="1"/>
    <col min="5636" max="5646" width="10.83203125" bestFit="1" customWidth="1"/>
    <col min="5647" max="5647" width="8.6640625" bestFit="1" customWidth="1"/>
    <col min="5889" max="5889" width="41.6640625" customWidth="1"/>
    <col min="5890" max="5890" width="3.33203125" customWidth="1"/>
    <col min="5891" max="5891" width="13.33203125" customWidth="1"/>
    <col min="5892" max="5902" width="10.83203125" bestFit="1" customWidth="1"/>
    <col min="5903" max="5903" width="8.6640625" bestFit="1" customWidth="1"/>
    <col min="6145" max="6145" width="41.6640625" customWidth="1"/>
    <col min="6146" max="6146" width="3.33203125" customWidth="1"/>
    <col min="6147" max="6147" width="13.33203125" customWidth="1"/>
    <col min="6148" max="6158" width="10.83203125" bestFit="1" customWidth="1"/>
    <col min="6159" max="6159" width="8.6640625" bestFit="1" customWidth="1"/>
    <col min="6401" max="6401" width="41.6640625" customWidth="1"/>
    <col min="6402" max="6402" width="3.33203125" customWidth="1"/>
    <col min="6403" max="6403" width="13.33203125" customWidth="1"/>
    <col min="6404" max="6414" width="10.83203125" bestFit="1" customWidth="1"/>
    <col min="6415" max="6415" width="8.6640625" bestFit="1" customWidth="1"/>
    <col min="6657" max="6657" width="41.6640625" customWidth="1"/>
    <col min="6658" max="6658" width="3.33203125" customWidth="1"/>
    <col min="6659" max="6659" width="13.33203125" customWidth="1"/>
    <col min="6660" max="6670" width="10.83203125" bestFit="1" customWidth="1"/>
    <col min="6671" max="6671" width="8.6640625" bestFit="1" customWidth="1"/>
    <col min="6913" max="6913" width="41.6640625" customWidth="1"/>
    <col min="6914" max="6914" width="3.33203125" customWidth="1"/>
    <col min="6915" max="6915" width="13.33203125" customWidth="1"/>
    <col min="6916" max="6926" width="10.83203125" bestFit="1" customWidth="1"/>
    <col min="6927" max="6927" width="8.6640625" bestFit="1" customWidth="1"/>
    <col min="7169" max="7169" width="41.6640625" customWidth="1"/>
    <col min="7170" max="7170" width="3.33203125" customWidth="1"/>
    <col min="7171" max="7171" width="13.33203125" customWidth="1"/>
    <col min="7172" max="7182" width="10.83203125" bestFit="1" customWidth="1"/>
    <col min="7183" max="7183" width="8.6640625" bestFit="1" customWidth="1"/>
    <col min="7425" max="7425" width="41.6640625" customWidth="1"/>
    <col min="7426" max="7426" width="3.33203125" customWidth="1"/>
    <col min="7427" max="7427" width="13.33203125" customWidth="1"/>
    <col min="7428" max="7438" width="10.83203125" bestFit="1" customWidth="1"/>
    <col min="7439" max="7439" width="8.6640625" bestFit="1" customWidth="1"/>
    <col min="7681" max="7681" width="41.6640625" customWidth="1"/>
    <col min="7682" max="7682" width="3.33203125" customWidth="1"/>
    <col min="7683" max="7683" width="13.33203125" customWidth="1"/>
    <col min="7684" max="7694" width="10.83203125" bestFit="1" customWidth="1"/>
    <col min="7695" max="7695" width="8.6640625" bestFit="1" customWidth="1"/>
    <col min="7937" max="7937" width="41.6640625" customWidth="1"/>
    <col min="7938" max="7938" width="3.33203125" customWidth="1"/>
    <col min="7939" max="7939" width="13.33203125" customWidth="1"/>
    <col min="7940" max="7950" width="10.83203125" bestFit="1" customWidth="1"/>
    <col min="7951" max="7951" width="8.6640625" bestFit="1" customWidth="1"/>
    <col min="8193" max="8193" width="41.6640625" customWidth="1"/>
    <col min="8194" max="8194" width="3.33203125" customWidth="1"/>
    <col min="8195" max="8195" width="13.33203125" customWidth="1"/>
    <col min="8196" max="8206" width="10.83203125" bestFit="1" customWidth="1"/>
    <col min="8207" max="8207" width="8.6640625" bestFit="1" customWidth="1"/>
    <col min="8449" max="8449" width="41.6640625" customWidth="1"/>
    <col min="8450" max="8450" width="3.33203125" customWidth="1"/>
    <col min="8451" max="8451" width="13.33203125" customWidth="1"/>
    <col min="8452" max="8462" width="10.83203125" bestFit="1" customWidth="1"/>
    <col min="8463" max="8463" width="8.6640625" bestFit="1" customWidth="1"/>
    <col min="8705" max="8705" width="41.6640625" customWidth="1"/>
    <col min="8706" max="8706" width="3.33203125" customWidth="1"/>
    <col min="8707" max="8707" width="13.33203125" customWidth="1"/>
    <col min="8708" max="8718" width="10.83203125" bestFit="1" customWidth="1"/>
    <col min="8719" max="8719" width="8.6640625" bestFit="1" customWidth="1"/>
    <col min="8961" max="8961" width="41.6640625" customWidth="1"/>
    <col min="8962" max="8962" width="3.33203125" customWidth="1"/>
    <col min="8963" max="8963" width="13.33203125" customWidth="1"/>
    <col min="8964" max="8974" width="10.83203125" bestFit="1" customWidth="1"/>
    <col min="8975" max="8975" width="8.6640625" bestFit="1" customWidth="1"/>
    <col min="9217" max="9217" width="41.6640625" customWidth="1"/>
    <col min="9218" max="9218" width="3.33203125" customWidth="1"/>
    <col min="9219" max="9219" width="13.33203125" customWidth="1"/>
    <col min="9220" max="9230" width="10.83203125" bestFit="1" customWidth="1"/>
    <col min="9231" max="9231" width="8.6640625" bestFit="1" customWidth="1"/>
    <col min="9473" max="9473" width="41.6640625" customWidth="1"/>
    <col min="9474" max="9474" width="3.33203125" customWidth="1"/>
    <col min="9475" max="9475" width="13.33203125" customWidth="1"/>
    <col min="9476" max="9486" width="10.83203125" bestFit="1" customWidth="1"/>
    <col min="9487" max="9487" width="8.6640625" bestFit="1" customWidth="1"/>
    <col min="9729" max="9729" width="41.6640625" customWidth="1"/>
    <col min="9730" max="9730" width="3.33203125" customWidth="1"/>
    <col min="9731" max="9731" width="13.33203125" customWidth="1"/>
    <col min="9732" max="9742" width="10.83203125" bestFit="1" customWidth="1"/>
    <col min="9743" max="9743" width="8.6640625" bestFit="1" customWidth="1"/>
    <col min="9985" max="9985" width="41.6640625" customWidth="1"/>
    <col min="9986" max="9986" width="3.33203125" customWidth="1"/>
    <col min="9987" max="9987" width="13.33203125" customWidth="1"/>
    <col min="9988" max="9998" width="10.83203125" bestFit="1" customWidth="1"/>
    <col min="9999" max="9999" width="8.6640625" bestFit="1" customWidth="1"/>
    <col min="10241" max="10241" width="41.6640625" customWidth="1"/>
    <col min="10242" max="10242" width="3.33203125" customWidth="1"/>
    <col min="10243" max="10243" width="13.33203125" customWidth="1"/>
    <col min="10244" max="10254" width="10.83203125" bestFit="1" customWidth="1"/>
    <col min="10255" max="10255" width="8.6640625" bestFit="1" customWidth="1"/>
    <col min="10497" max="10497" width="41.6640625" customWidth="1"/>
    <col min="10498" max="10498" width="3.33203125" customWidth="1"/>
    <col min="10499" max="10499" width="13.33203125" customWidth="1"/>
    <col min="10500" max="10510" width="10.83203125" bestFit="1" customWidth="1"/>
    <col min="10511" max="10511" width="8.6640625" bestFit="1" customWidth="1"/>
    <col min="10753" max="10753" width="41.6640625" customWidth="1"/>
    <col min="10754" max="10754" width="3.33203125" customWidth="1"/>
    <col min="10755" max="10755" width="13.33203125" customWidth="1"/>
    <col min="10756" max="10766" width="10.83203125" bestFit="1" customWidth="1"/>
    <col min="10767" max="10767" width="8.6640625" bestFit="1" customWidth="1"/>
    <col min="11009" max="11009" width="41.6640625" customWidth="1"/>
    <col min="11010" max="11010" width="3.33203125" customWidth="1"/>
    <col min="11011" max="11011" width="13.33203125" customWidth="1"/>
    <col min="11012" max="11022" width="10.83203125" bestFit="1" customWidth="1"/>
    <col min="11023" max="11023" width="8.6640625" bestFit="1" customWidth="1"/>
    <col min="11265" max="11265" width="41.6640625" customWidth="1"/>
    <col min="11266" max="11266" width="3.33203125" customWidth="1"/>
    <col min="11267" max="11267" width="13.33203125" customWidth="1"/>
    <col min="11268" max="11278" width="10.83203125" bestFit="1" customWidth="1"/>
    <col min="11279" max="11279" width="8.6640625" bestFit="1" customWidth="1"/>
    <col min="11521" max="11521" width="41.6640625" customWidth="1"/>
    <col min="11522" max="11522" width="3.33203125" customWidth="1"/>
    <col min="11523" max="11523" width="13.33203125" customWidth="1"/>
    <col min="11524" max="11534" width="10.83203125" bestFit="1" customWidth="1"/>
    <col min="11535" max="11535" width="8.6640625" bestFit="1" customWidth="1"/>
    <col min="11777" max="11777" width="41.6640625" customWidth="1"/>
    <col min="11778" max="11778" width="3.33203125" customWidth="1"/>
    <col min="11779" max="11779" width="13.33203125" customWidth="1"/>
    <col min="11780" max="11790" width="10.83203125" bestFit="1" customWidth="1"/>
    <col min="11791" max="11791" width="8.6640625" bestFit="1" customWidth="1"/>
    <col min="12033" max="12033" width="41.6640625" customWidth="1"/>
    <col min="12034" max="12034" width="3.33203125" customWidth="1"/>
    <col min="12035" max="12035" width="13.33203125" customWidth="1"/>
    <col min="12036" max="12046" width="10.83203125" bestFit="1" customWidth="1"/>
    <col min="12047" max="12047" width="8.6640625" bestFit="1" customWidth="1"/>
    <col min="12289" max="12289" width="41.6640625" customWidth="1"/>
    <col min="12290" max="12290" width="3.33203125" customWidth="1"/>
    <col min="12291" max="12291" width="13.33203125" customWidth="1"/>
    <col min="12292" max="12302" width="10.83203125" bestFit="1" customWidth="1"/>
    <col min="12303" max="12303" width="8.6640625" bestFit="1" customWidth="1"/>
    <col min="12545" max="12545" width="41.6640625" customWidth="1"/>
    <col min="12546" max="12546" width="3.33203125" customWidth="1"/>
    <col min="12547" max="12547" width="13.33203125" customWidth="1"/>
    <col min="12548" max="12558" width="10.83203125" bestFit="1" customWidth="1"/>
    <col min="12559" max="12559" width="8.6640625" bestFit="1" customWidth="1"/>
    <col min="12801" max="12801" width="41.6640625" customWidth="1"/>
    <col min="12802" max="12802" width="3.33203125" customWidth="1"/>
    <col min="12803" max="12803" width="13.33203125" customWidth="1"/>
    <col min="12804" max="12814" width="10.83203125" bestFit="1" customWidth="1"/>
    <col min="12815" max="12815" width="8.6640625" bestFit="1" customWidth="1"/>
    <col min="13057" max="13057" width="41.6640625" customWidth="1"/>
    <col min="13058" max="13058" width="3.33203125" customWidth="1"/>
    <col min="13059" max="13059" width="13.33203125" customWidth="1"/>
    <col min="13060" max="13070" width="10.83203125" bestFit="1" customWidth="1"/>
    <col min="13071" max="13071" width="8.6640625" bestFit="1" customWidth="1"/>
    <col min="13313" max="13313" width="41.6640625" customWidth="1"/>
    <col min="13314" max="13314" width="3.33203125" customWidth="1"/>
    <col min="13315" max="13315" width="13.33203125" customWidth="1"/>
    <col min="13316" max="13326" width="10.83203125" bestFit="1" customWidth="1"/>
    <col min="13327" max="13327" width="8.6640625" bestFit="1" customWidth="1"/>
    <col min="13569" max="13569" width="41.6640625" customWidth="1"/>
    <col min="13570" max="13570" width="3.33203125" customWidth="1"/>
    <col min="13571" max="13571" width="13.33203125" customWidth="1"/>
    <col min="13572" max="13582" width="10.83203125" bestFit="1" customWidth="1"/>
    <col min="13583" max="13583" width="8.6640625" bestFit="1" customWidth="1"/>
    <col min="13825" max="13825" width="41.6640625" customWidth="1"/>
    <col min="13826" max="13826" width="3.33203125" customWidth="1"/>
    <col min="13827" max="13827" width="13.33203125" customWidth="1"/>
    <col min="13828" max="13838" width="10.83203125" bestFit="1" customWidth="1"/>
    <col min="13839" max="13839" width="8.6640625" bestFit="1" customWidth="1"/>
    <col min="14081" max="14081" width="41.6640625" customWidth="1"/>
    <col min="14082" max="14082" width="3.33203125" customWidth="1"/>
    <col min="14083" max="14083" width="13.33203125" customWidth="1"/>
    <col min="14084" max="14094" width="10.83203125" bestFit="1" customWidth="1"/>
    <col min="14095" max="14095" width="8.6640625" bestFit="1" customWidth="1"/>
    <col min="14337" max="14337" width="41.6640625" customWidth="1"/>
    <col min="14338" max="14338" width="3.33203125" customWidth="1"/>
    <col min="14339" max="14339" width="13.33203125" customWidth="1"/>
    <col min="14340" max="14350" width="10.83203125" bestFit="1" customWidth="1"/>
    <col min="14351" max="14351" width="8.6640625" bestFit="1" customWidth="1"/>
    <col min="14593" max="14593" width="41.6640625" customWidth="1"/>
    <col min="14594" max="14594" width="3.33203125" customWidth="1"/>
    <col min="14595" max="14595" width="13.33203125" customWidth="1"/>
    <col min="14596" max="14606" width="10.83203125" bestFit="1" customWidth="1"/>
    <col min="14607" max="14607" width="8.6640625" bestFit="1" customWidth="1"/>
    <col min="14849" max="14849" width="41.6640625" customWidth="1"/>
    <col min="14850" max="14850" width="3.33203125" customWidth="1"/>
    <col min="14851" max="14851" width="13.33203125" customWidth="1"/>
    <col min="14852" max="14862" width="10.83203125" bestFit="1" customWidth="1"/>
    <col min="14863" max="14863" width="8.6640625" bestFit="1" customWidth="1"/>
    <col min="15105" max="15105" width="41.6640625" customWidth="1"/>
    <col min="15106" max="15106" width="3.33203125" customWidth="1"/>
    <col min="15107" max="15107" width="13.33203125" customWidth="1"/>
    <col min="15108" max="15118" width="10.83203125" bestFit="1" customWidth="1"/>
    <col min="15119" max="15119" width="8.6640625" bestFit="1" customWidth="1"/>
    <col min="15361" max="15361" width="41.6640625" customWidth="1"/>
    <col min="15362" max="15362" width="3.33203125" customWidth="1"/>
    <col min="15363" max="15363" width="13.33203125" customWidth="1"/>
    <col min="15364" max="15374" width="10.83203125" bestFit="1" customWidth="1"/>
    <col min="15375" max="15375" width="8.6640625" bestFit="1" customWidth="1"/>
    <col min="15617" max="15617" width="41.6640625" customWidth="1"/>
    <col min="15618" max="15618" width="3.33203125" customWidth="1"/>
    <col min="15619" max="15619" width="13.33203125" customWidth="1"/>
    <col min="15620" max="15630" width="10.83203125" bestFit="1" customWidth="1"/>
    <col min="15631" max="15631" width="8.6640625" bestFit="1" customWidth="1"/>
    <col min="15873" max="15873" width="41.6640625" customWidth="1"/>
    <col min="15874" max="15874" width="3.33203125" customWidth="1"/>
    <col min="15875" max="15875" width="13.33203125" customWidth="1"/>
    <col min="15876" max="15886" width="10.83203125" bestFit="1" customWidth="1"/>
    <col min="15887" max="15887" width="8.6640625" bestFit="1" customWidth="1"/>
    <col min="16129" max="16129" width="41.6640625" customWidth="1"/>
    <col min="16130" max="16130" width="3.33203125" customWidth="1"/>
    <col min="16131" max="16131" width="13.33203125" customWidth="1"/>
    <col min="16132" max="16142" width="10.83203125" bestFit="1" customWidth="1"/>
    <col min="16143" max="16143" width="8.6640625" bestFit="1" customWidth="1"/>
  </cols>
  <sheetData>
    <row r="1" spans="1:12" x14ac:dyDescent="0.2">
      <c r="A1" s="16" t="s">
        <v>19</v>
      </c>
      <c r="B1" s="17"/>
      <c r="C1" s="71" t="s">
        <v>20</v>
      </c>
      <c r="D1" s="71"/>
      <c r="E1" s="71"/>
      <c r="F1" s="71"/>
      <c r="G1" s="71"/>
      <c r="H1" s="71"/>
    </row>
    <row r="2" spans="1:12" x14ac:dyDescent="0.2">
      <c r="A2" s="16" t="s">
        <v>21</v>
      </c>
      <c r="B2" s="17"/>
      <c r="C2" s="17" t="s">
        <v>22</v>
      </c>
    </row>
    <row r="3" spans="1:12" x14ac:dyDescent="0.2">
      <c r="A3" s="16" t="s">
        <v>23</v>
      </c>
      <c r="B3" s="17"/>
      <c r="C3" s="17" t="s">
        <v>24</v>
      </c>
    </row>
    <row r="4" spans="1:12" x14ac:dyDescent="0.2">
      <c r="A4" s="16" t="s">
        <v>25</v>
      </c>
      <c r="B4" s="17"/>
      <c r="C4" s="17" t="s">
        <v>26</v>
      </c>
      <c r="D4" s="71" t="s">
        <v>27</v>
      </c>
      <c r="E4" s="71"/>
      <c r="F4" s="71"/>
      <c r="G4" s="71"/>
      <c r="H4" s="71"/>
      <c r="I4" s="71"/>
    </row>
    <row r="5" spans="1:12" x14ac:dyDescent="0.2">
      <c r="A5" s="16" t="s">
        <v>28</v>
      </c>
      <c r="B5" s="17"/>
      <c r="C5" s="17" t="s">
        <v>29</v>
      </c>
      <c r="D5" s="71"/>
      <c r="E5" s="71"/>
      <c r="F5" s="71"/>
      <c r="G5" s="71"/>
      <c r="H5" s="71"/>
      <c r="I5" s="71"/>
    </row>
    <row r="8" spans="1:12" x14ac:dyDescent="0.2">
      <c r="A8" s="18" t="s">
        <v>30</v>
      </c>
    </row>
    <row r="9" spans="1:12" x14ac:dyDescent="0.2">
      <c r="A9" s="16" t="s">
        <v>31</v>
      </c>
      <c r="B9" s="17"/>
      <c r="C9" s="18" t="s">
        <v>32</v>
      </c>
      <c r="D9" s="18" t="s">
        <v>33</v>
      </c>
      <c r="E9" s="18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</row>
    <row r="10" spans="1:12" x14ac:dyDescent="0.2">
      <c r="A10" s="16" t="s">
        <v>42</v>
      </c>
      <c r="B10" s="17"/>
      <c r="C10" s="19" t="s">
        <v>43</v>
      </c>
      <c r="D10" s="19" t="s">
        <v>44</v>
      </c>
      <c r="E10" s="19" t="s">
        <v>45</v>
      </c>
      <c r="F10" s="19" t="s">
        <v>46</v>
      </c>
      <c r="G10" s="19" t="s">
        <v>47</v>
      </c>
      <c r="H10" s="19" t="s">
        <v>48</v>
      </c>
      <c r="I10" s="19" t="s">
        <v>49</v>
      </c>
      <c r="J10" s="19" t="s">
        <v>50</v>
      </c>
      <c r="K10" s="19" t="s">
        <v>51</v>
      </c>
      <c r="L10" s="19" t="s">
        <v>52</v>
      </c>
    </row>
    <row r="11" spans="1:12" x14ac:dyDescent="0.2">
      <c r="A11" s="17" t="s">
        <v>53</v>
      </c>
    </row>
    <row r="12" spans="1:12" x14ac:dyDescent="0.2">
      <c r="A12" s="17" t="s">
        <v>54</v>
      </c>
      <c r="B12" s="17"/>
      <c r="C12" s="16">
        <v>5947</v>
      </c>
      <c r="D12" s="16">
        <v>10686</v>
      </c>
      <c r="E12" s="16">
        <v>11612</v>
      </c>
      <c r="F12" s="16">
        <v>13348</v>
      </c>
      <c r="G12" s="16">
        <v>15137</v>
      </c>
      <c r="H12" s="16">
        <v>11850</v>
      </c>
      <c r="I12" s="16">
        <v>10287</v>
      </c>
      <c r="J12" s="16">
        <v>16181</v>
      </c>
      <c r="K12" s="16">
        <v>10288</v>
      </c>
      <c r="L12" s="16">
        <v>7214</v>
      </c>
    </row>
    <row r="13" spans="1:12" x14ac:dyDescent="0.2">
      <c r="A13" s="17" t="s">
        <v>55</v>
      </c>
      <c r="B13" s="17"/>
      <c r="C13" s="16">
        <v>6508</v>
      </c>
      <c r="D13" s="16">
        <v>6386</v>
      </c>
      <c r="E13" s="16">
        <v>4861</v>
      </c>
      <c r="F13" s="16">
        <v>4373</v>
      </c>
      <c r="G13" s="16">
        <v>4594</v>
      </c>
      <c r="H13" s="16">
        <v>4686</v>
      </c>
      <c r="I13" s="16">
        <v>4951</v>
      </c>
      <c r="J13" s="16">
        <v>4178</v>
      </c>
      <c r="K13" s="16">
        <v>4725</v>
      </c>
      <c r="L13" s="16">
        <v>5143</v>
      </c>
    </row>
    <row r="14" spans="1:12" x14ac:dyDescent="0.2">
      <c r="A14" s="17" t="s">
        <v>56</v>
      </c>
      <c r="B14" s="17"/>
      <c r="C14" s="16">
        <v>6909</v>
      </c>
      <c r="D14" s="16">
        <v>6759</v>
      </c>
      <c r="E14" s="16">
        <v>5454</v>
      </c>
      <c r="F14" s="16">
        <v>4716</v>
      </c>
      <c r="G14" s="16">
        <v>4624</v>
      </c>
      <c r="H14" s="16">
        <v>4738</v>
      </c>
      <c r="I14" s="16">
        <v>5017</v>
      </c>
      <c r="J14" s="16">
        <v>5498</v>
      </c>
      <c r="K14" s="16">
        <v>5983</v>
      </c>
      <c r="L14" s="16">
        <v>6924</v>
      </c>
    </row>
    <row r="15" spans="1:12" x14ac:dyDescent="0.2">
      <c r="A15" s="17" t="s">
        <v>57</v>
      </c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2">
      <c r="A16" s="17" t="s">
        <v>58</v>
      </c>
      <c r="B16" s="17"/>
      <c r="C16" s="16">
        <v>4626</v>
      </c>
      <c r="D16" s="16">
        <v>7786</v>
      </c>
      <c r="E16" s="16">
        <v>7719</v>
      </c>
      <c r="F16" s="16">
        <v>11345</v>
      </c>
      <c r="G16" s="16">
        <v>2139</v>
      </c>
      <c r="H16" s="16">
        <v>2046</v>
      </c>
      <c r="I16" s="16">
        <v>2218</v>
      </c>
      <c r="J16" s="16">
        <v>2130</v>
      </c>
      <c r="K16" s="16">
        <v>2095</v>
      </c>
      <c r="L16" s="16">
        <v>2372</v>
      </c>
    </row>
    <row r="18" spans="1:12" x14ac:dyDescent="0.2">
      <c r="A18" s="17" t="s">
        <v>59</v>
      </c>
      <c r="B18" s="17"/>
      <c r="C18" s="16">
        <v>23990</v>
      </c>
      <c r="D18" s="16">
        <v>31617</v>
      </c>
      <c r="E18" s="16">
        <v>29646</v>
      </c>
      <c r="F18" s="16">
        <v>33782</v>
      </c>
      <c r="G18" s="16">
        <v>26494</v>
      </c>
      <c r="H18" s="16">
        <v>23320</v>
      </c>
      <c r="I18" s="16">
        <v>22473</v>
      </c>
      <c r="J18" s="16">
        <v>27987</v>
      </c>
      <c r="K18" s="16">
        <v>23091</v>
      </c>
      <c r="L18" s="16">
        <v>21653</v>
      </c>
    </row>
    <row r="20" spans="1:12" x14ac:dyDescent="0.2">
      <c r="A20" s="17" t="s">
        <v>60</v>
      </c>
      <c r="B20" s="17"/>
      <c r="C20" s="16">
        <v>43012</v>
      </c>
      <c r="D20" s="16">
        <v>44427</v>
      </c>
      <c r="E20" s="16">
        <v>41347</v>
      </c>
      <c r="F20" s="16">
        <v>39866</v>
      </c>
      <c r="G20" s="16">
        <v>40148</v>
      </c>
      <c r="H20" s="16">
        <v>41847</v>
      </c>
      <c r="I20" s="16">
        <v>43393</v>
      </c>
      <c r="J20" s="16">
        <v>44621</v>
      </c>
      <c r="K20" s="16">
        <v>47506</v>
      </c>
      <c r="L20" s="16">
        <v>47457</v>
      </c>
    </row>
    <row r="21" spans="1:12" x14ac:dyDescent="0.2">
      <c r="A21" s="17" t="s">
        <v>61</v>
      </c>
      <c r="B21" s="17"/>
      <c r="C21" s="16">
        <v>21346</v>
      </c>
      <c r="D21" s="16">
        <v>22123</v>
      </c>
      <c r="E21" s="16">
        <v>21079</v>
      </c>
      <c r="F21" s="16">
        <v>20481</v>
      </c>
      <c r="G21" s="16">
        <v>20255</v>
      </c>
      <c r="H21" s="16">
        <v>21247</v>
      </c>
      <c r="I21" s="16">
        <v>22122</v>
      </c>
      <c r="J21" s="16">
        <v>23079</v>
      </c>
      <c r="K21" s="16">
        <v>25012</v>
      </c>
      <c r="L21" s="16">
        <v>25502</v>
      </c>
    </row>
    <row r="23" spans="1:12" x14ac:dyDescent="0.2">
      <c r="A23" s="17" t="s">
        <v>62</v>
      </c>
      <c r="B23" s="17"/>
      <c r="C23" s="16">
        <v>21666</v>
      </c>
      <c r="D23" s="16">
        <v>22304</v>
      </c>
      <c r="E23" s="16">
        <v>20268</v>
      </c>
      <c r="F23" s="16">
        <v>19385</v>
      </c>
      <c r="G23" s="16">
        <v>19893</v>
      </c>
      <c r="H23" s="16">
        <v>20600</v>
      </c>
      <c r="I23" s="16">
        <v>21271</v>
      </c>
      <c r="J23" s="16">
        <v>21542</v>
      </c>
      <c r="K23" s="16">
        <v>22494</v>
      </c>
      <c r="L23" s="16">
        <v>21955</v>
      </c>
    </row>
    <row r="25" spans="1:12" x14ac:dyDescent="0.2">
      <c r="A25" s="17" t="s">
        <v>63</v>
      </c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">
      <c r="A26" s="17" t="s">
        <v>64</v>
      </c>
      <c r="B26" s="17"/>
      <c r="C26" s="16"/>
      <c r="D26" s="16"/>
      <c r="E26" s="16"/>
      <c r="F26" s="16">
        <v>28</v>
      </c>
      <c r="G26" s="16">
        <v>132</v>
      </c>
      <c r="H26" s="16"/>
      <c r="I26" s="16">
        <v>169</v>
      </c>
      <c r="J26" s="16">
        <v>67</v>
      </c>
      <c r="K26" s="16">
        <v>192</v>
      </c>
      <c r="L26" s="16">
        <v>140</v>
      </c>
    </row>
    <row r="27" spans="1:12" x14ac:dyDescent="0.2">
      <c r="A27" s="17" t="s">
        <v>65</v>
      </c>
      <c r="B27" s="17"/>
      <c r="C27" s="16">
        <v>86760</v>
      </c>
      <c r="D27" s="16">
        <v>84547</v>
      </c>
      <c r="E27" s="16">
        <v>74145</v>
      </c>
      <c r="F27" s="16">
        <v>68877</v>
      </c>
      <c r="G27" s="16">
        <v>68886</v>
      </c>
      <c r="H27" s="16">
        <v>69077</v>
      </c>
      <c r="I27" s="16">
        <v>64488</v>
      </c>
      <c r="J27" s="16">
        <v>63693</v>
      </c>
      <c r="K27" s="16">
        <v>64566</v>
      </c>
      <c r="L27" s="16">
        <v>63379</v>
      </c>
    </row>
    <row r="28" spans="1:12" x14ac:dyDescent="0.2">
      <c r="A28" s="17" t="s">
        <v>66</v>
      </c>
      <c r="B28" s="17"/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">
      <c r="A29" s="17" t="s">
        <v>67</v>
      </c>
      <c r="B29" s="17"/>
      <c r="C29" s="16">
        <v>6847</v>
      </c>
      <c r="D29" s="16">
        <v>5798</v>
      </c>
      <c r="E29" s="16">
        <v>5436</v>
      </c>
      <c r="F29" s="16">
        <v>5064</v>
      </c>
      <c r="G29" s="16">
        <v>5001</v>
      </c>
      <c r="H29" s="16">
        <v>5313</v>
      </c>
      <c r="I29" s="16">
        <v>6694</v>
      </c>
      <c r="J29" s="16">
        <v>7411</v>
      </c>
      <c r="K29" s="16">
        <v>8964</v>
      </c>
      <c r="L29" s="16">
        <v>10081</v>
      </c>
    </row>
    <row r="31" spans="1:12" x14ac:dyDescent="0.2">
      <c r="A31" s="17" t="s">
        <v>68</v>
      </c>
      <c r="B31" s="17"/>
      <c r="C31" s="16">
        <v>139263</v>
      </c>
      <c r="D31" s="16">
        <v>144266</v>
      </c>
      <c r="E31" s="16">
        <v>129495</v>
      </c>
      <c r="F31" s="16">
        <v>127136</v>
      </c>
      <c r="G31" s="16">
        <v>120406</v>
      </c>
      <c r="H31" s="16">
        <v>118310</v>
      </c>
      <c r="I31" s="16">
        <v>115095</v>
      </c>
      <c r="J31" s="16">
        <v>120700</v>
      </c>
      <c r="K31" s="16">
        <v>119307</v>
      </c>
      <c r="L31" s="16">
        <v>117208</v>
      </c>
    </row>
    <row r="33" spans="1:12" x14ac:dyDescent="0.2">
      <c r="A33" s="17" t="s">
        <v>69</v>
      </c>
    </row>
    <row r="34" spans="1:12" x14ac:dyDescent="0.2">
      <c r="A34" s="17" t="s">
        <v>70</v>
      </c>
      <c r="B34" s="17"/>
      <c r="C34" s="16">
        <v>8777</v>
      </c>
      <c r="D34" s="16">
        <v>8461</v>
      </c>
      <c r="E34" s="16">
        <v>8257</v>
      </c>
      <c r="F34" s="16">
        <v>9325</v>
      </c>
      <c r="G34" s="16">
        <v>9632</v>
      </c>
      <c r="H34" s="16">
        <v>10344</v>
      </c>
      <c r="I34" s="16">
        <v>11260</v>
      </c>
      <c r="J34" s="16">
        <v>12071</v>
      </c>
      <c r="K34" s="16">
        <v>13720</v>
      </c>
      <c r="L34" s="16">
        <v>14882</v>
      </c>
    </row>
    <row r="35" spans="1:12" x14ac:dyDescent="0.2">
      <c r="A35" s="17" t="s">
        <v>71</v>
      </c>
      <c r="B35" s="17"/>
      <c r="C35" s="16">
        <v>7926</v>
      </c>
      <c r="D35" s="16">
        <v>11299</v>
      </c>
      <c r="E35" s="16">
        <v>9249</v>
      </c>
      <c r="F35" s="16">
        <v>8893</v>
      </c>
      <c r="G35" s="16">
        <v>11878</v>
      </c>
      <c r="H35" s="16">
        <v>8651</v>
      </c>
      <c r="I35" s="16">
        <v>6309</v>
      </c>
      <c r="J35" s="16">
        <v>8675</v>
      </c>
      <c r="K35" s="16">
        <v>5269</v>
      </c>
      <c r="L35" s="16">
        <v>4998</v>
      </c>
    </row>
    <row r="36" spans="1:12" x14ac:dyDescent="0.2">
      <c r="A36" s="17" t="s">
        <v>72</v>
      </c>
      <c r="B36" s="17"/>
      <c r="C36" s="16">
        <v>5161</v>
      </c>
      <c r="D36" s="16">
        <v>5336</v>
      </c>
      <c r="E36" s="16">
        <v>4564</v>
      </c>
      <c r="F36" s="16">
        <v>4435</v>
      </c>
      <c r="G36" s="16">
        <v>4304</v>
      </c>
      <c r="H36" s="16">
        <v>4662</v>
      </c>
      <c r="I36" s="16">
        <v>5922</v>
      </c>
      <c r="J36" s="16">
        <v>5452</v>
      </c>
      <c r="K36" s="16">
        <v>6285</v>
      </c>
      <c r="L36" s="16">
        <v>5675</v>
      </c>
    </row>
    <row r="37" spans="1:12" x14ac:dyDescent="0.2">
      <c r="A37" s="17" t="s">
        <v>73</v>
      </c>
      <c r="B37" s="17"/>
      <c r="C37" s="16">
        <v>817</v>
      </c>
      <c r="D37" s="16">
        <v>711</v>
      </c>
      <c r="E37" s="16">
        <v>845</v>
      </c>
      <c r="F37" s="16">
        <v>397</v>
      </c>
      <c r="G37" s="16">
        <v>449</v>
      </c>
      <c r="H37" s="16">
        <v>268</v>
      </c>
      <c r="I37" s="16">
        <v>341</v>
      </c>
      <c r="J37" s="16">
        <v>693</v>
      </c>
      <c r="K37" s="16">
        <v>637</v>
      </c>
      <c r="L37" s="16">
        <v>587</v>
      </c>
    </row>
    <row r="38" spans="1:12" x14ac:dyDescent="0.2">
      <c r="A38" s="17" t="s">
        <v>74</v>
      </c>
      <c r="B38" s="17"/>
      <c r="C38" s="16">
        <v>4506</v>
      </c>
      <c r="D38" s="16">
        <v>4307</v>
      </c>
      <c r="E38" s="16">
        <v>2772</v>
      </c>
      <c r="F38" s="16">
        <v>2760</v>
      </c>
      <c r="G38" s="16">
        <v>1676</v>
      </c>
      <c r="H38" s="16">
        <v>1772</v>
      </c>
      <c r="I38" s="16">
        <v>3388</v>
      </c>
      <c r="J38" s="16">
        <v>2747</v>
      </c>
      <c r="K38" s="16">
        <v>3839</v>
      </c>
      <c r="L38" s="16">
        <v>3852</v>
      </c>
    </row>
    <row r="39" spans="1:12" x14ac:dyDescent="0.2">
      <c r="A39" s="17" t="s">
        <v>75</v>
      </c>
      <c r="B39" s="17"/>
      <c r="C39" s="16">
        <v>2850</v>
      </c>
      <c r="D39" s="16">
        <v>3612</v>
      </c>
      <c r="E39" s="16">
        <v>4103</v>
      </c>
      <c r="F39" s="16">
        <v>4960</v>
      </c>
      <c r="G39" s="16">
        <v>2271</v>
      </c>
      <c r="H39" s="16">
        <v>2540</v>
      </c>
      <c r="I39" s="16">
        <v>2791</v>
      </c>
      <c r="J39" s="16">
        <v>3338</v>
      </c>
      <c r="K39" s="16">
        <v>3382</v>
      </c>
      <c r="L39" s="16">
        <v>3087</v>
      </c>
    </row>
    <row r="41" spans="1:12" x14ac:dyDescent="0.2">
      <c r="A41" s="17" t="s">
        <v>76</v>
      </c>
      <c r="B41" s="17"/>
      <c r="C41" s="16">
        <v>30037</v>
      </c>
      <c r="D41" s="16">
        <v>33726</v>
      </c>
      <c r="E41" s="16">
        <v>29790</v>
      </c>
      <c r="F41" s="16">
        <v>30770</v>
      </c>
      <c r="G41" s="16">
        <v>30210</v>
      </c>
      <c r="H41" s="16">
        <v>28237</v>
      </c>
      <c r="I41" s="16">
        <v>30011</v>
      </c>
      <c r="J41" s="16">
        <v>32976</v>
      </c>
      <c r="K41" s="16">
        <v>33132</v>
      </c>
      <c r="L41" s="16">
        <v>33081</v>
      </c>
    </row>
    <row r="43" spans="1:12" x14ac:dyDescent="0.2">
      <c r="A43" s="17" t="s">
        <v>77</v>
      </c>
      <c r="B43" s="17"/>
      <c r="C43" s="16">
        <v>19111</v>
      </c>
      <c r="D43" s="16">
        <v>19811</v>
      </c>
      <c r="E43" s="16">
        <v>18329</v>
      </c>
      <c r="F43" s="16">
        <v>18945</v>
      </c>
      <c r="G43" s="16">
        <v>18038</v>
      </c>
      <c r="H43" s="16">
        <v>20863</v>
      </c>
      <c r="I43" s="16">
        <v>20395</v>
      </c>
      <c r="J43" s="16">
        <v>24189</v>
      </c>
      <c r="K43" s="16">
        <v>23730</v>
      </c>
      <c r="L43" s="16">
        <v>23443</v>
      </c>
    </row>
    <row r="44" spans="1:12" x14ac:dyDescent="0.2">
      <c r="A44" s="17" t="s">
        <v>78</v>
      </c>
      <c r="B44" s="17"/>
      <c r="C44" s="16">
        <v>10827</v>
      </c>
      <c r="D44" s="16">
        <v>10218</v>
      </c>
      <c r="E44" s="16">
        <v>9531</v>
      </c>
      <c r="F44" s="16">
        <v>9113</v>
      </c>
      <c r="G44" s="16">
        <v>8126</v>
      </c>
      <c r="H44" s="16">
        <v>6163</v>
      </c>
      <c r="I44" s="16">
        <v>6899</v>
      </c>
      <c r="J44" s="16">
        <v>6199</v>
      </c>
      <c r="K44" s="16">
        <v>6153</v>
      </c>
      <c r="L44" s="16">
        <v>6809</v>
      </c>
    </row>
    <row r="45" spans="1:12" x14ac:dyDescent="0.2">
      <c r="A45" s="17" t="s">
        <v>79</v>
      </c>
      <c r="B45" s="17"/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">
      <c r="A46" s="17" t="s">
        <v>80</v>
      </c>
      <c r="B46" s="17"/>
      <c r="C46" s="16">
        <v>10579</v>
      </c>
      <c r="D46" s="16">
        <v>10535</v>
      </c>
      <c r="E46" s="16">
        <v>8795</v>
      </c>
      <c r="F46" s="16">
        <v>10325</v>
      </c>
      <c r="G46" s="16">
        <v>8254</v>
      </c>
      <c r="H46" s="16">
        <v>10164</v>
      </c>
      <c r="I46" s="16">
        <v>10211</v>
      </c>
      <c r="J46" s="16">
        <v>10458</v>
      </c>
      <c r="K46" s="16">
        <v>9638</v>
      </c>
      <c r="L46" s="16">
        <v>7021</v>
      </c>
    </row>
    <row r="47" spans="1:12" x14ac:dyDescent="0.2">
      <c r="A47" s="17" t="s">
        <v>81</v>
      </c>
      <c r="B47" s="17"/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9" spans="1:12" x14ac:dyDescent="0.2">
      <c r="A49" s="17" t="s">
        <v>82</v>
      </c>
      <c r="B49" s="17"/>
      <c r="C49" s="16">
        <v>70554</v>
      </c>
      <c r="D49" s="16">
        <v>74290</v>
      </c>
      <c r="E49" s="16">
        <v>66445</v>
      </c>
      <c r="F49" s="16">
        <v>69153</v>
      </c>
      <c r="G49" s="16">
        <v>64628</v>
      </c>
      <c r="H49" s="16">
        <v>65427</v>
      </c>
      <c r="I49" s="16">
        <v>67516</v>
      </c>
      <c r="J49" s="16">
        <v>73822</v>
      </c>
      <c r="K49" s="16">
        <v>72653</v>
      </c>
      <c r="L49" s="16">
        <v>70354</v>
      </c>
    </row>
    <row r="51" spans="1:12" x14ac:dyDescent="0.2">
      <c r="A51" s="17" t="s">
        <v>83</v>
      </c>
    </row>
    <row r="52" spans="1:12" x14ac:dyDescent="0.2">
      <c r="A52" s="17" t="s">
        <v>84</v>
      </c>
      <c r="B52" s="17"/>
      <c r="C52" s="16">
        <v>-215</v>
      </c>
      <c r="D52" s="16">
        <v>-229</v>
      </c>
      <c r="E52" s="16">
        <v>-243</v>
      </c>
      <c r="F52" s="16">
        <v>-252</v>
      </c>
      <c r="G52" s="16">
        <v>-243</v>
      </c>
      <c r="H52" s="16">
        <v>-237</v>
      </c>
      <c r="I52" s="16">
        <v>-218</v>
      </c>
      <c r="J52" s="16">
        <v>-183</v>
      </c>
      <c r="K52" s="16">
        <v>-136</v>
      </c>
      <c r="L52" s="16">
        <v>-73</v>
      </c>
    </row>
    <row r="53" spans="1:12" x14ac:dyDescent="0.2">
      <c r="A53" s="17" t="s">
        <v>85</v>
      </c>
      <c r="B53" s="17"/>
      <c r="C53" s="16">
        <v>4009</v>
      </c>
      <c r="D53" s="16">
        <v>4009</v>
      </c>
      <c r="E53" s="16">
        <v>4009</v>
      </c>
      <c r="F53" s="16">
        <v>4009</v>
      </c>
      <c r="G53" s="16">
        <v>4009</v>
      </c>
      <c r="H53" s="16">
        <v>4009</v>
      </c>
      <c r="I53" s="16">
        <v>4009</v>
      </c>
      <c r="J53" s="16">
        <v>4009</v>
      </c>
      <c r="K53" s="16">
        <v>4009</v>
      </c>
      <c r="L53" s="16">
        <v>4009</v>
      </c>
    </row>
    <row r="54" spans="1:12" x14ac:dyDescent="0.2">
      <c r="A54" s="17" t="s">
        <v>86</v>
      </c>
      <c r="B54" s="17"/>
      <c r="C54" s="16">
        <v>63538</v>
      </c>
      <c r="D54" s="16">
        <v>63911</v>
      </c>
      <c r="E54" s="16">
        <v>63852</v>
      </c>
      <c r="F54" s="16">
        <v>63714</v>
      </c>
      <c r="G54" s="16">
        <v>63641</v>
      </c>
      <c r="H54" s="16">
        <v>63846</v>
      </c>
      <c r="I54" s="16">
        <v>63827</v>
      </c>
      <c r="J54" s="16">
        <v>64194</v>
      </c>
      <c r="K54" s="16">
        <v>64848</v>
      </c>
      <c r="L54" s="16">
        <v>65795</v>
      </c>
    </row>
    <row r="55" spans="1:12" x14ac:dyDescent="0.2">
      <c r="A55" s="17" t="s">
        <v>87</v>
      </c>
      <c r="B55" s="17"/>
      <c r="C55" s="16">
        <v>72698</v>
      </c>
      <c r="D55" s="16">
        <v>77328</v>
      </c>
      <c r="E55" s="16">
        <v>72027</v>
      </c>
      <c r="F55" s="16">
        <v>72046</v>
      </c>
      <c r="G55" s="16">
        <v>81492</v>
      </c>
      <c r="H55" s="16">
        <v>83892</v>
      </c>
      <c r="I55" s="16">
        <v>79982</v>
      </c>
      <c r="J55" s="16">
        <v>84074</v>
      </c>
      <c r="K55" s="16">
        <v>92630</v>
      </c>
      <c r="L55" s="16">
        <v>100240</v>
      </c>
    </row>
    <row r="56" spans="1:12" x14ac:dyDescent="0.2">
      <c r="A56" s="17" t="s">
        <v>88</v>
      </c>
      <c r="B56" s="17"/>
      <c r="C56" s="16">
        <v>71966</v>
      </c>
      <c r="D56" s="16">
        <v>75805</v>
      </c>
      <c r="E56" s="16">
        <v>77226</v>
      </c>
      <c r="F56" s="16">
        <v>82176</v>
      </c>
      <c r="G56" s="16">
        <v>93715</v>
      </c>
      <c r="H56" s="16">
        <v>99217</v>
      </c>
      <c r="I56" s="16">
        <v>100406</v>
      </c>
      <c r="J56" s="16">
        <v>105573</v>
      </c>
      <c r="K56" s="16">
        <v>114973</v>
      </c>
      <c r="L56" s="16">
        <v>123382</v>
      </c>
    </row>
    <row r="57" spans="1:12" x14ac:dyDescent="0.2">
      <c r="A57" s="17" t="s">
        <v>89</v>
      </c>
      <c r="B57" s="17"/>
      <c r="C57" s="16">
        <v>68064</v>
      </c>
      <c r="D57" s="16">
        <v>69214</v>
      </c>
      <c r="E57" s="16">
        <v>62419</v>
      </c>
      <c r="F57" s="16">
        <v>57341</v>
      </c>
      <c r="G57" s="16">
        <v>55184</v>
      </c>
      <c r="H57" s="16">
        <v>52293</v>
      </c>
      <c r="I57" s="16">
        <v>47194</v>
      </c>
      <c r="J57" s="16">
        <v>46521</v>
      </c>
      <c r="K57" s="16">
        <v>46378</v>
      </c>
      <c r="L57" s="16">
        <v>46589</v>
      </c>
    </row>
    <row r="58" spans="1:12" x14ac:dyDescent="0.2">
      <c r="A58" s="17" t="s">
        <v>90</v>
      </c>
      <c r="B58" s="17"/>
      <c r="C58" s="16">
        <v>645</v>
      </c>
      <c r="D58" s="16">
        <v>762</v>
      </c>
      <c r="E58" s="16">
        <v>631</v>
      </c>
      <c r="F58" s="16">
        <v>642</v>
      </c>
      <c r="G58" s="16">
        <v>594</v>
      </c>
      <c r="H58" s="16">
        <v>590</v>
      </c>
      <c r="I58" s="16">
        <v>385</v>
      </c>
      <c r="J58" s="16">
        <v>357</v>
      </c>
      <c r="K58" s="16">
        <v>276</v>
      </c>
      <c r="L58" s="16">
        <v>265</v>
      </c>
    </row>
    <row r="60" spans="1:12" x14ac:dyDescent="0.2">
      <c r="A60" s="17" t="s">
        <v>91</v>
      </c>
      <c r="B60" s="17"/>
      <c r="C60" s="16">
        <v>68709</v>
      </c>
      <c r="D60" s="16">
        <v>69976</v>
      </c>
      <c r="E60" s="16">
        <v>63050</v>
      </c>
      <c r="F60" s="16">
        <v>57983</v>
      </c>
      <c r="G60" s="16">
        <v>55778</v>
      </c>
      <c r="H60" s="16">
        <v>52883</v>
      </c>
      <c r="I60" s="16">
        <v>47579</v>
      </c>
      <c r="J60" s="16">
        <v>46878</v>
      </c>
      <c r="K60" s="16">
        <v>46654</v>
      </c>
      <c r="L60" s="16">
        <v>46854</v>
      </c>
    </row>
    <row r="62" spans="1:12" x14ac:dyDescent="0.2">
      <c r="A62" s="17" t="s">
        <v>92</v>
      </c>
      <c r="B62" s="17"/>
      <c r="C62" s="16">
        <v>139263</v>
      </c>
      <c r="D62" s="16">
        <v>144266</v>
      </c>
      <c r="E62" s="16">
        <v>129495</v>
      </c>
      <c r="F62" s="16">
        <v>127136</v>
      </c>
      <c r="G62" s="16">
        <v>120406</v>
      </c>
      <c r="H62" s="16">
        <v>118310</v>
      </c>
      <c r="I62" s="16">
        <v>115095</v>
      </c>
      <c r="J62" s="16">
        <v>120700</v>
      </c>
      <c r="K62" s="16">
        <v>119307</v>
      </c>
      <c r="L62" s="16">
        <v>117208</v>
      </c>
    </row>
    <row r="65" spans="1:12" x14ac:dyDescent="0.2">
      <c r="A65" s="18" t="s">
        <v>93</v>
      </c>
    </row>
    <row r="66" spans="1:12" x14ac:dyDescent="0.2">
      <c r="A66" s="16" t="s">
        <v>31</v>
      </c>
      <c r="B66" s="17"/>
      <c r="C66" s="18" t="s">
        <v>32</v>
      </c>
      <c r="D66" s="18" t="s">
        <v>33</v>
      </c>
      <c r="E66" s="18" t="s">
        <v>34</v>
      </c>
      <c r="F66" s="18" t="s">
        <v>35</v>
      </c>
      <c r="G66" s="18" t="s">
        <v>36</v>
      </c>
      <c r="H66" s="18" t="s">
        <v>37</v>
      </c>
      <c r="I66" s="18" t="s">
        <v>38</v>
      </c>
      <c r="J66" s="18" t="s">
        <v>39</v>
      </c>
      <c r="K66" s="18" t="s">
        <v>40</v>
      </c>
      <c r="L66" s="18" t="s">
        <v>41</v>
      </c>
    </row>
    <row r="67" spans="1:12" x14ac:dyDescent="0.2">
      <c r="A67" s="16" t="s">
        <v>42</v>
      </c>
      <c r="B67" s="17"/>
      <c r="C67" s="19" t="s">
        <v>43</v>
      </c>
      <c r="D67" s="19" t="s">
        <v>44</v>
      </c>
      <c r="E67" s="19" t="s">
        <v>45</v>
      </c>
      <c r="F67" s="19" t="s">
        <v>46</v>
      </c>
      <c r="G67" s="19" t="s">
        <v>47</v>
      </c>
      <c r="H67" s="19" t="s">
        <v>48</v>
      </c>
      <c r="I67" s="19" t="s">
        <v>49</v>
      </c>
      <c r="J67" s="19" t="s">
        <v>50</v>
      </c>
      <c r="K67" s="19" t="s">
        <v>51</v>
      </c>
      <c r="L67" s="19" t="s">
        <v>52</v>
      </c>
    </row>
    <row r="68" spans="1:12" x14ac:dyDescent="0.2">
      <c r="A68" s="17" t="s">
        <v>94</v>
      </c>
      <c r="B68" s="17"/>
      <c r="C68" s="16">
        <v>84167</v>
      </c>
      <c r="D68" s="16">
        <v>83062</v>
      </c>
      <c r="E68" s="16">
        <v>76279</v>
      </c>
      <c r="F68" s="16">
        <v>65299</v>
      </c>
      <c r="G68" s="16">
        <v>65058</v>
      </c>
      <c r="H68" s="16">
        <v>66832</v>
      </c>
      <c r="I68" s="16">
        <v>67684</v>
      </c>
      <c r="J68" s="16">
        <v>70950</v>
      </c>
      <c r="K68" s="16">
        <v>76118</v>
      </c>
      <c r="L68" s="16">
        <v>80187</v>
      </c>
    </row>
    <row r="69" spans="1:12" x14ac:dyDescent="0.2">
      <c r="A69" s="17" t="s">
        <v>95</v>
      </c>
      <c r="B69" s="17"/>
      <c r="C69" s="16">
        <v>39090</v>
      </c>
      <c r="D69" s="16">
        <v>38940</v>
      </c>
      <c r="E69" s="16">
        <v>35128</v>
      </c>
      <c r="F69" s="16">
        <v>29113</v>
      </c>
      <c r="G69" s="16">
        <v>29122</v>
      </c>
      <c r="H69" s="16">
        <v>30615</v>
      </c>
      <c r="I69" s="16">
        <v>31423</v>
      </c>
      <c r="J69" s="16">
        <v>31623</v>
      </c>
      <c r="K69" s="16">
        <v>34239</v>
      </c>
      <c r="L69" s="16">
        <v>39350</v>
      </c>
    </row>
    <row r="71" spans="1:12" x14ac:dyDescent="0.2">
      <c r="A71" s="17" t="s">
        <v>96</v>
      </c>
      <c r="B71" s="17"/>
      <c r="C71" s="16">
        <v>45077</v>
      </c>
      <c r="D71" s="16">
        <v>44122</v>
      </c>
      <c r="E71" s="16">
        <v>41151</v>
      </c>
      <c r="F71" s="16">
        <v>36186</v>
      </c>
      <c r="G71" s="16">
        <v>35936</v>
      </c>
      <c r="H71" s="16">
        <v>36217</v>
      </c>
      <c r="I71" s="16">
        <v>36261</v>
      </c>
      <c r="J71" s="16">
        <v>39327</v>
      </c>
      <c r="K71" s="16">
        <v>41879</v>
      </c>
      <c r="L71" s="16">
        <v>40837</v>
      </c>
    </row>
    <row r="72" spans="1:12" x14ac:dyDescent="0.2">
      <c r="A72" s="17" t="s">
        <v>97</v>
      </c>
      <c r="B72" s="17"/>
      <c r="C72" s="16">
        <v>26066</v>
      </c>
      <c r="D72" s="16">
        <v>24689</v>
      </c>
      <c r="E72" s="16">
        <v>23247</v>
      </c>
      <c r="F72" s="16">
        <v>18747</v>
      </c>
      <c r="G72" s="16">
        <v>18431</v>
      </c>
      <c r="H72" s="16">
        <v>18602</v>
      </c>
      <c r="I72" s="16">
        <v>18871</v>
      </c>
      <c r="J72" s="16">
        <v>19839</v>
      </c>
      <c r="K72" s="16">
        <v>20848</v>
      </c>
      <c r="L72" s="16">
        <v>20217</v>
      </c>
    </row>
    <row r="74" spans="1:12" x14ac:dyDescent="0.2">
      <c r="A74" s="17" t="s">
        <v>98</v>
      </c>
      <c r="B74" s="17"/>
      <c r="C74" s="16">
        <v>19011</v>
      </c>
      <c r="D74" s="16">
        <v>19433</v>
      </c>
      <c r="E74" s="16">
        <v>17904</v>
      </c>
      <c r="F74" s="16">
        <v>17439</v>
      </c>
      <c r="G74" s="16">
        <v>17505</v>
      </c>
      <c r="H74" s="16">
        <v>17615</v>
      </c>
      <c r="I74" s="16">
        <v>17390</v>
      </c>
      <c r="J74" s="16">
        <v>19488</v>
      </c>
      <c r="K74" s="16">
        <v>21031</v>
      </c>
      <c r="L74" s="16">
        <v>20620</v>
      </c>
    </row>
    <row r="75" spans="1:12" x14ac:dyDescent="0.2">
      <c r="A75" s="17" t="s">
        <v>99</v>
      </c>
      <c r="B75" s="17"/>
      <c r="C75" s="16">
        <v>2982</v>
      </c>
      <c r="D75" s="16">
        <v>3141</v>
      </c>
      <c r="E75" s="16">
        <v>3134</v>
      </c>
      <c r="F75" s="16">
        <v>3078</v>
      </c>
      <c r="G75" s="16">
        <v>2820</v>
      </c>
      <c r="H75" s="16">
        <v>2834</v>
      </c>
      <c r="I75" s="16">
        <v>2824</v>
      </c>
      <c r="J75" s="16">
        <v>3013</v>
      </c>
      <c r="K75" s="16">
        <v>2735</v>
      </c>
      <c r="L75" s="16">
        <v>2807</v>
      </c>
    </row>
    <row r="77" spans="1:12" x14ac:dyDescent="0.2">
      <c r="A77" s="17" t="s">
        <v>100</v>
      </c>
      <c r="B77" s="17"/>
      <c r="C77" s="16">
        <v>16029</v>
      </c>
      <c r="D77" s="16">
        <v>16292</v>
      </c>
      <c r="E77" s="16">
        <v>14770</v>
      </c>
      <c r="F77" s="16">
        <v>14361</v>
      </c>
      <c r="G77" s="16">
        <v>14685</v>
      </c>
      <c r="H77" s="16">
        <v>14781</v>
      </c>
      <c r="I77" s="16">
        <v>14566</v>
      </c>
      <c r="J77" s="16">
        <v>16475</v>
      </c>
      <c r="K77" s="16">
        <v>18296</v>
      </c>
      <c r="L77" s="16">
        <v>17813</v>
      </c>
    </row>
    <row r="78" spans="1:12" x14ac:dyDescent="0.2">
      <c r="A78" s="17" t="s">
        <v>101</v>
      </c>
      <c r="B78" s="17"/>
      <c r="C78" s="16">
        <v>754</v>
      </c>
      <c r="D78" s="16">
        <v>789</v>
      </c>
      <c r="E78" s="16">
        <v>693</v>
      </c>
      <c r="F78" s="16">
        <v>634</v>
      </c>
      <c r="G78" s="16">
        <v>521</v>
      </c>
      <c r="H78" s="16">
        <v>560</v>
      </c>
      <c r="I78" s="16">
        <v>509</v>
      </c>
      <c r="J78" s="16">
        <v>465</v>
      </c>
      <c r="K78" s="16">
        <v>502</v>
      </c>
      <c r="L78" s="16">
        <v>439</v>
      </c>
    </row>
    <row r="79" spans="1:12" x14ac:dyDescent="0.2">
      <c r="A79" s="17" t="s">
        <v>102</v>
      </c>
      <c r="B79" s="17"/>
      <c r="C79" s="16">
        <v>485</v>
      </c>
      <c r="D79" s="16">
        <v>386</v>
      </c>
      <c r="E79" s="16">
        <v>749</v>
      </c>
      <c r="F79" s="16">
        <v>562</v>
      </c>
      <c r="G79" s="16">
        <v>366</v>
      </c>
      <c r="H79" s="16">
        <v>521</v>
      </c>
      <c r="I79" s="16">
        <v>756</v>
      </c>
      <c r="J79" s="16">
        <v>606</v>
      </c>
      <c r="K79" s="16">
        <v>663</v>
      </c>
      <c r="L79" s="16">
        <v>621</v>
      </c>
    </row>
    <row r="80" spans="1:12" x14ac:dyDescent="0.2">
      <c r="A80" s="17" t="s">
        <v>103</v>
      </c>
      <c r="B80" s="17"/>
      <c r="C80" s="16">
        <v>-917</v>
      </c>
      <c r="D80" s="16">
        <v>-1004</v>
      </c>
      <c r="E80" s="16">
        <v>-2980</v>
      </c>
      <c r="F80" s="16">
        <v>-920</v>
      </c>
      <c r="G80" s="16">
        <v>-1273</v>
      </c>
      <c r="H80" s="16">
        <v>-1416</v>
      </c>
      <c r="I80" s="16">
        <v>-8744</v>
      </c>
      <c r="J80" s="16">
        <v>-782</v>
      </c>
      <c r="K80" s="16">
        <v>-842</v>
      </c>
      <c r="L80" s="16">
        <v>0</v>
      </c>
    </row>
    <row r="82" spans="1:12" x14ac:dyDescent="0.2">
      <c r="A82" s="17" t="s">
        <v>104</v>
      </c>
      <c r="B82" s="17"/>
      <c r="C82" s="16">
        <v>14843</v>
      </c>
      <c r="D82" s="16">
        <v>14885</v>
      </c>
      <c r="E82" s="16">
        <v>11846</v>
      </c>
      <c r="F82" s="16">
        <v>13369</v>
      </c>
      <c r="G82" s="16">
        <v>13257</v>
      </c>
      <c r="H82" s="16">
        <v>13326</v>
      </c>
      <c r="I82" s="16">
        <v>6069</v>
      </c>
      <c r="J82" s="16">
        <v>15834</v>
      </c>
      <c r="K82" s="16">
        <v>17615</v>
      </c>
      <c r="L82" s="16">
        <v>17995</v>
      </c>
    </row>
    <row r="83" spans="1:12" x14ac:dyDescent="0.2">
      <c r="A83" s="17" t="s">
        <v>105</v>
      </c>
      <c r="B83" s="17"/>
      <c r="C83" s="16">
        <v>3441</v>
      </c>
      <c r="D83" s="16">
        <v>3178</v>
      </c>
      <c r="E83" s="16">
        <v>2916</v>
      </c>
      <c r="F83" s="16">
        <v>3342</v>
      </c>
      <c r="G83" s="16">
        <v>3063</v>
      </c>
      <c r="H83" s="16">
        <v>3465</v>
      </c>
      <c r="I83" s="16">
        <v>2103</v>
      </c>
      <c r="J83" s="16">
        <v>2731</v>
      </c>
      <c r="K83" s="16">
        <v>3263</v>
      </c>
      <c r="L83" s="16">
        <v>3202</v>
      </c>
    </row>
    <row r="84" spans="1:12" x14ac:dyDescent="0.2">
      <c r="A84" s="17" t="s">
        <v>106</v>
      </c>
      <c r="B84" s="17"/>
      <c r="C84" s="16">
        <v>90</v>
      </c>
      <c r="D84" s="16">
        <v>142</v>
      </c>
      <c r="E84" s="16">
        <v>100</v>
      </c>
      <c r="F84" s="16">
        <v>96</v>
      </c>
      <c r="G84" s="16">
        <v>85</v>
      </c>
      <c r="H84" s="16">
        <v>111</v>
      </c>
      <c r="I84" s="16">
        <v>69</v>
      </c>
      <c r="J84" s="16">
        <v>76</v>
      </c>
      <c r="K84" s="16">
        <v>46</v>
      </c>
      <c r="L84" s="16">
        <v>51</v>
      </c>
    </row>
    <row r="85" spans="1:12" x14ac:dyDescent="0.2">
      <c r="A85" s="17" t="s">
        <v>107</v>
      </c>
      <c r="B85" s="17"/>
      <c r="C85" s="16">
        <v>11312</v>
      </c>
      <c r="D85" s="16">
        <v>11565</v>
      </c>
      <c r="E85" s="16">
        <v>8830</v>
      </c>
      <c r="F85" s="16">
        <v>9931</v>
      </c>
      <c r="G85" s="16">
        <v>10109</v>
      </c>
      <c r="H85" s="16">
        <v>9750</v>
      </c>
      <c r="I85" s="16">
        <v>3897</v>
      </c>
      <c r="J85" s="16">
        <v>13027</v>
      </c>
      <c r="K85" s="16">
        <v>14306</v>
      </c>
      <c r="L85" s="16">
        <v>14742</v>
      </c>
    </row>
    <row r="86" spans="1:12" x14ac:dyDescent="0.2">
      <c r="A86" s="17" t="s">
        <v>108</v>
      </c>
      <c r="B86" s="17"/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</row>
    <row r="87" spans="1:12" x14ac:dyDescent="0.2">
      <c r="A87" s="17" t="s">
        <v>109</v>
      </c>
      <c r="B87" s="17"/>
      <c r="C87" s="16">
        <v>0</v>
      </c>
      <c r="D87" s="16">
        <v>78</v>
      </c>
      <c r="E87" s="16">
        <v>-1794</v>
      </c>
      <c r="F87" s="16">
        <v>577</v>
      </c>
      <c r="G87" s="16">
        <v>5217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</row>
    <row r="89" spans="1:12" x14ac:dyDescent="0.2">
      <c r="A89" s="17" t="s">
        <v>110</v>
      </c>
      <c r="B89" s="17"/>
      <c r="C89" s="16">
        <v>11312</v>
      </c>
      <c r="D89" s="16">
        <v>11643</v>
      </c>
      <c r="E89" s="16">
        <v>7036</v>
      </c>
      <c r="F89" s="16">
        <v>10508</v>
      </c>
      <c r="G89" s="16">
        <v>15326</v>
      </c>
      <c r="H89" s="16">
        <v>9750</v>
      </c>
      <c r="I89" s="16">
        <v>3897</v>
      </c>
      <c r="J89" s="16">
        <v>13027</v>
      </c>
      <c r="K89" s="16">
        <v>14306</v>
      </c>
      <c r="L89" s="16">
        <v>14742</v>
      </c>
    </row>
    <row r="90" spans="1:12" x14ac:dyDescent="0.2">
      <c r="A90" s="17" t="s">
        <v>107</v>
      </c>
      <c r="B90" s="17"/>
      <c r="C90" s="16">
        <v>11312</v>
      </c>
      <c r="D90" s="16">
        <v>11565</v>
      </c>
      <c r="E90" s="16">
        <v>8830</v>
      </c>
      <c r="F90" s="16">
        <v>9931</v>
      </c>
      <c r="G90" s="16">
        <v>10109</v>
      </c>
      <c r="H90" s="16">
        <v>9750</v>
      </c>
      <c r="I90" s="16">
        <v>3897</v>
      </c>
      <c r="J90" s="16">
        <v>13027</v>
      </c>
      <c r="K90" s="16">
        <v>14306</v>
      </c>
      <c r="L90" s="16">
        <v>14742</v>
      </c>
    </row>
    <row r="91" spans="1:12" x14ac:dyDescent="0.2">
      <c r="A91" s="17" t="s">
        <v>111</v>
      </c>
      <c r="B91" s="17"/>
      <c r="C91" s="16">
        <v>244</v>
      </c>
      <c r="D91" s="16">
        <v>253</v>
      </c>
      <c r="E91" s="16">
        <v>259</v>
      </c>
      <c r="F91" s="16">
        <v>255</v>
      </c>
      <c r="G91" s="16">
        <v>247</v>
      </c>
      <c r="H91" s="16">
        <v>265</v>
      </c>
      <c r="I91" s="16">
        <v>263</v>
      </c>
      <c r="J91" s="16">
        <v>263</v>
      </c>
      <c r="K91" s="16">
        <v>271</v>
      </c>
      <c r="L91" s="16">
        <v>281</v>
      </c>
    </row>
    <row r="93" spans="1:12" x14ac:dyDescent="0.2">
      <c r="A93" s="17" t="s">
        <v>112</v>
      </c>
      <c r="B93" s="17"/>
      <c r="C93" s="16">
        <v>11068</v>
      </c>
      <c r="D93" s="16">
        <v>11312</v>
      </c>
      <c r="E93" s="16">
        <v>8571</v>
      </c>
      <c r="F93" s="16">
        <v>9676</v>
      </c>
      <c r="G93" s="16">
        <v>9862</v>
      </c>
      <c r="H93" s="16">
        <v>9485</v>
      </c>
      <c r="I93" s="16">
        <v>3634</v>
      </c>
      <c r="J93" s="16">
        <v>12764</v>
      </c>
      <c r="K93" s="16">
        <v>14035</v>
      </c>
      <c r="L93" s="16">
        <v>14461</v>
      </c>
    </row>
    <row r="94" spans="1:12" x14ac:dyDescent="0.2">
      <c r="A94" s="17" t="s">
        <v>113</v>
      </c>
      <c r="B94" s="17"/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</row>
    <row r="96" spans="1:12" x14ac:dyDescent="0.2">
      <c r="A96" s="17" t="s">
        <v>114</v>
      </c>
      <c r="B96" s="17"/>
      <c r="C96" s="16">
        <v>11068</v>
      </c>
      <c r="D96" s="16">
        <v>11312</v>
      </c>
      <c r="E96" s="16">
        <v>8571</v>
      </c>
      <c r="F96" s="16">
        <v>9676</v>
      </c>
      <c r="G96" s="16">
        <v>9862</v>
      </c>
      <c r="H96" s="16">
        <v>9485</v>
      </c>
      <c r="I96" s="16">
        <v>3634</v>
      </c>
      <c r="J96" s="16">
        <v>12764</v>
      </c>
      <c r="K96" s="16">
        <v>14035</v>
      </c>
      <c r="L96" s="16">
        <v>14461</v>
      </c>
    </row>
    <row r="98" spans="1:12" x14ac:dyDescent="0.2">
      <c r="A98" s="17" t="s">
        <v>115</v>
      </c>
    </row>
    <row r="99" spans="1:12" x14ac:dyDescent="0.2">
      <c r="A99" s="17" t="s">
        <v>116</v>
      </c>
      <c r="B99" s="17"/>
      <c r="C99" s="16">
        <v>4.04</v>
      </c>
      <c r="D99" s="16">
        <v>4.16</v>
      </c>
      <c r="E99" s="16">
        <v>3.16</v>
      </c>
      <c r="F99" s="16">
        <v>3.59</v>
      </c>
      <c r="G99" s="16">
        <v>3.79</v>
      </c>
      <c r="H99" s="16">
        <v>3.75</v>
      </c>
      <c r="I99" s="16">
        <v>1.45</v>
      </c>
      <c r="J99" s="16">
        <v>5.13</v>
      </c>
      <c r="K99" s="16">
        <v>5.69</v>
      </c>
      <c r="L99" s="16">
        <v>6</v>
      </c>
    </row>
    <row r="100" spans="1:12" x14ac:dyDescent="0.2">
      <c r="A100" s="17" t="s">
        <v>117</v>
      </c>
      <c r="B100" s="17"/>
      <c r="C100" s="16">
        <v>4.04</v>
      </c>
      <c r="D100" s="16">
        <v>4.1900000000000004</v>
      </c>
      <c r="E100" s="16">
        <v>2.5</v>
      </c>
      <c r="F100" s="16">
        <v>3.8</v>
      </c>
      <c r="G100" s="16">
        <v>5.8</v>
      </c>
      <c r="H100" s="16">
        <v>3.75</v>
      </c>
      <c r="I100" s="16">
        <v>1.45</v>
      </c>
      <c r="J100" s="16">
        <v>5.13</v>
      </c>
      <c r="K100" s="16">
        <v>5.69</v>
      </c>
      <c r="L100" s="16">
        <v>6</v>
      </c>
    </row>
    <row r="101" spans="1:12" x14ac:dyDescent="0.2">
      <c r="A101" s="17" t="s">
        <v>118</v>
      </c>
      <c r="B101" s="17"/>
      <c r="C101" s="16">
        <v>3.86</v>
      </c>
      <c r="D101" s="16">
        <v>3.98</v>
      </c>
      <c r="E101" s="16">
        <v>3.06</v>
      </c>
      <c r="F101" s="16">
        <v>3.49</v>
      </c>
      <c r="G101" s="16">
        <v>3.69</v>
      </c>
      <c r="H101" s="16">
        <v>3.67</v>
      </c>
      <c r="I101" s="16">
        <v>1.43</v>
      </c>
      <c r="J101" s="16">
        <v>4.96</v>
      </c>
      <c r="K101" s="16">
        <v>5.5</v>
      </c>
      <c r="L101" s="16">
        <v>5.81</v>
      </c>
    </row>
    <row r="102" spans="1:12" x14ac:dyDescent="0.2">
      <c r="A102" s="17" t="s">
        <v>119</v>
      </c>
      <c r="B102" s="17"/>
      <c r="C102" s="16">
        <v>3.86</v>
      </c>
      <c r="D102" s="16">
        <v>4.01</v>
      </c>
      <c r="E102" s="16">
        <v>2.44</v>
      </c>
      <c r="F102" s="16">
        <v>3.69</v>
      </c>
      <c r="G102" s="16">
        <v>5.59</v>
      </c>
      <c r="H102" s="16">
        <v>3.67</v>
      </c>
      <c r="I102" s="16">
        <v>1.43</v>
      </c>
      <c r="J102" s="16">
        <v>4.96</v>
      </c>
      <c r="K102" s="16">
        <v>5.5</v>
      </c>
      <c r="L102" s="16">
        <v>5.81</v>
      </c>
    </row>
    <row r="103" spans="1:12" x14ac:dyDescent="0.2">
      <c r="A103" s="17" t="s">
        <v>120</v>
      </c>
    </row>
    <row r="104" spans="1:12" x14ac:dyDescent="0.2">
      <c r="A104" s="17" t="s">
        <v>121</v>
      </c>
      <c r="B104" s="17"/>
      <c r="C104" s="16">
        <v>2742.9</v>
      </c>
      <c r="D104" s="16">
        <v>2719.8</v>
      </c>
      <c r="E104" s="16">
        <v>2711.7</v>
      </c>
      <c r="F104" s="16">
        <v>2698.9</v>
      </c>
      <c r="G104" s="16">
        <v>2598.1</v>
      </c>
      <c r="H104" s="16">
        <v>2529.3000000000002</v>
      </c>
      <c r="I104" s="16">
        <v>2503.6</v>
      </c>
      <c r="J104" s="16">
        <v>2487.1</v>
      </c>
      <c r="K104" s="16">
        <v>2465.8000000000002</v>
      </c>
      <c r="L104" s="16">
        <v>2410.3000000000002</v>
      </c>
    </row>
    <row r="105" spans="1:12" x14ac:dyDescent="0.2">
      <c r="A105" s="17" t="s">
        <v>122</v>
      </c>
      <c r="B105" s="17"/>
      <c r="C105" s="16">
        <v>2930.6</v>
      </c>
      <c r="D105" s="16">
        <v>2904.7</v>
      </c>
      <c r="E105" s="16">
        <v>2883.6</v>
      </c>
      <c r="F105" s="16">
        <v>2844.4</v>
      </c>
      <c r="G105" s="16">
        <v>2740.4</v>
      </c>
      <c r="H105" s="16">
        <v>2656.7</v>
      </c>
      <c r="I105" s="16">
        <v>2539.5</v>
      </c>
      <c r="J105" s="16">
        <v>2625.8</v>
      </c>
      <c r="K105" s="16">
        <v>2601</v>
      </c>
      <c r="L105" s="16">
        <v>2539.1</v>
      </c>
    </row>
    <row r="106" spans="1:12" x14ac:dyDescent="0.2">
      <c r="A106" s="17" t="s">
        <v>123</v>
      </c>
      <c r="B106" s="17"/>
      <c r="C106" s="16">
        <v>2742.3270000000002</v>
      </c>
      <c r="D106" s="16">
        <v>2710.806</v>
      </c>
      <c r="E106" s="16">
        <v>2714.5709999999999</v>
      </c>
      <c r="F106" s="16">
        <v>2668.0740000000001</v>
      </c>
      <c r="G106" s="16">
        <v>2553.297</v>
      </c>
      <c r="H106" s="16">
        <v>2498.0929999999998</v>
      </c>
      <c r="I106" s="16">
        <v>2504.7510000000002</v>
      </c>
      <c r="J106" s="16">
        <v>2479.7460000000001</v>
      </c>
      <c r="K106" s="16">
        <v>2429.7060000000001</v>
      </c>
      <c r="L106" s="16">
        <v>2393.877</v>
      </c>
    </row>
    <row r="109" spans="1:12" x14ac:dyDescent="0.2">
      <c r="A109" s="18" t="s">
        <v>124</v>
      </c>
    </row>
    <row r="110" spans="1:12" x14ac:dyDescent="0.2">
      <c r="A110" s="16" t="s">
        <v>31</v>
      </c>
      <c r="B110" s="17"/>
      <c r="C110" s="18" t="s">
        <v>32</v>
      </c>
      <c r="D110" s="18" t="s">
        <v>33</v>
      </c>
      <c r="E110" s="18" t="s">
        <v>34</v>
      </c>
      <c r="F110" s="18" t="s">
        <v>35</v>
      </c>
      <c r="G110" s="18" t="s">
        <v>36</v>
      </c>
      <c r="H110" s="18" t="s">
        <v>37</v>
      </c>
      <c r="I110" s="18" t="s">
        <v>38</v>
      </c>
      <c r="J110" s="18" t="s">
        <v>39</v>
      </c>
      <c r="K110" s="18" t="s">
        <v>40</v>
      </c>
      <c r="L110" s="18" t="s">
        <v>41</v>
      </c>
    </row>
    <row r="111" spans="1:12" x14ac:dyDescent="0.2">
      <c r="A111" s="16" t="s">
        <v>42</v>
      </c>
      <c r="B111" s="17"/>
      <c r="C111" s="19" t="s">
        <v>43</v>
      </c>
      <c r="D111" s="19" t="s">
        <v>44</v>
      </c>
      <c r="E111" s="19" t="s">
        <v>45</v>
      </c>
      <c r="F111" s="19" t="s">
        <v>46</v>
      </c>
      <c r="G111" s="19" t="s">
        <v>47</v>
      </c>
      <c r="H111" s="19" t="s">
        <v>48</v>
      </c>
      <c r="I111" s="19" t="s">
        <v>49</v>
      </c>
      <c r="J111" s="19" t="s">
        <v>50</v>
      </c>
      <c r="K111" s="19" t="s">
        <v>51</v>
      </c>
      <c r="L111" s="19" t="s">
        <v>52</v>
      </c>
    </row>
    <row r="112" spans="1:12" x14ac:dyDescent="0.2">
      <c r="A112" s="17" t="s">
        <v>125</v>
      </c>
      <c r="B112" s="17"/>
      <c r="C112" s="16">
        <v>66016</v>
      </c>
      <c r="D112" s="16">
        <v>72698</v>
      </c>
      <c r="E112" s="16">
        <v>77328</v>
      </c>
      <c r="F112" s="16">
        <v>72027</v>
      </c>
      <c r="G112" s="16">
        <v>72046</v>
      </c>
      <c r="H112" s="16">
        <v>81492</v>
      </c>
      <c r="I112" s="16">
        <v>83892</v>
      </c>
      <c r="J112" s="16">
        <v>79982</v>
      </c>
      <c r="K112" s="16">
        <v>84074</v>
      </c>
      <c r="L112" s="16">
        <v>92630</v>
      </c>
    </row>
    <row r="113" spans="1:12" x14ac:dyDescent="0.2">
      <c r="A113" s="17" t="s">
        <v>126</v>
      </c>
      <c r="B113" s="17"/>
      <c r="C113" s="16">
        <v>11312</v>
      </c>
      <c r="D113" s="16">
        <v>11643</v>
      </c>
      <c r="E113" s="16">
        <v>7036</v>
      </c>
      <c r="F113" s="16">
        <v>10508</v>
      </c>
      <c r="G113" s="16">
        <v>15326</v>
      </c>
      <c r="H113" s="16">
        <v>9750</v>
      </c>
      <c r="I113" s="16">
        <v>3897</v>
      </c>
      <c r="J113" s="16">
        <v>13027</v>
      </c>
      <c r="K113" s="16">
        <v>14306</v>
      </c>
      <c r="L113" s="16">
        <v>14742</v>
      </c>
    </row>
    <row r="114" spans="1:12" x14ac:dyDescent="0.2">
      <c r="A114" s="17" t="s">
        <v>127</v>
      </c>
      <c r="B114" s="17"/>
      <c r="C114" s="16">
        <v>6519</v>
      </c>
      <c r="D114" s="16">
        <v>6911</v>
      </c>
      <c r="E114" s="16">
        <v>7287</v>
      </c>
      <c r="F114" s="16">
        <v>7436</v>
      </c>
      <c r="G114" s="16">
        <v>7236</v>
      </c>
      <c r="H114" s="16">
        <v>7310</v>
      </c>
      <c r="I114" s="16">
        <v>7498</v>
      </c>
      <c r="J114" s="16">
        <v>7789</v>
      </c>
      <c r="K114" s="16">
        <v>8263</v>
      </c>
      <c r="L114" s="16">
        <v>8770</v>
      </c>
    </row>
    <row r="116" spans="1:12" x14ac:dyDescent="0.2">
      <c r="A116" s="17" t="s">
        <v>128</v>
      </c>
      <c r="B116" s="17"/>
      <c r="C116" s="16">
        <v>70809</v>
      </c>
      <c r="D116" s="16">
        <v>77430</v>
      </c>
      <c r="E116" s="16">
        <v>77077</v>
      </c>
      <c r="F116" s="16">
        <v>75099</v>
      </c>
      <c r="G116" s="16">
        <v>80136</v>
      </c>
      <c r="H116" s="16">
        <v>83932</v>
      </c>
      <c r="I116" s="16">
        <v>80291</v>
      </c>
      <c r="J116" s="16">
        <v>85220</v>
      </c>
      <c r="K116" s="16">
        <v>90117</v>
      </c>
      <c r="L116" s="16">
        <v>98602</v>
      </c>
    </row>
    <row r="117" spans="1:12" x14ac:dyDescent="0.2">
      <c r="A117" s="17" t="s">
        <v>129</v>
      </c>
      <c r="B117" s="17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x14ac:dyDescent="0.2">
      <c r="A118" s="17" t="s">
        <v>130</v>
      </c>
      <c r="B118" s="17"/>
      <c r="C118" s="16">
        <v>-27</v>
      </c>
      <c r="D118" s="16">
        <v>-18</v>
      </c>
      <c r="E118" s="16">
        <v>6</v>
      </c>
      <c r="F118" s="16">
        <v>34</v>
      </c>
      <c r="G118" s="16">
        <v>-25</v>
      </c>
      <c r="H118" s="16">
        <v>-173</v>
      </c>
      <c r="I118" s="16">
        <v>11</v>
      </c>
      <c r="J118" s="16">
        <v>-1</v>
      </c>
      <c r="K118" s="16">
        <v>15</v>
      </c>
      <c r="L118" s="16">
        <v>20</v>
      </c>
    </row>
    <row r="119" spans="1:12" x14ac:dyDescent="0.2">
      <c r="A119" s="17" t="s">
        <v>131</v>
      </c>
      <c r="B119" s="17"/>
      <c r="C119" s="16">
        <v>-7825</v>
      </c>
      <c r="D119" s="16">
        <v>-9041</v>
      </c>
      <c r="E119" s="16">
        <v>-6963</v>
      </c>
      <c r="F119" s="16">
        <v>-8439</v>
      </c>
      <c r="G119" s="16">
        <v>-7344</v>
      </c>
      <c r="H119" s="16">
        <v>-7304</v>
      </c>
      <c r="I119" s="16">
        <v>-4198</v>
      </c>
      <c r="J119" s="16">
        <v>-4350</v>
      </c>
      <c r="K119" s="16">
        <v>-2963</v>
      </c>
      <c r="L119" s="16">
        <v>27</v>
      </c>
    </row>
    <row r="120" spans="1:12" x14ac:dyDescent="0.2">
      <c r="A120" s="17" t="s">
        <v>132</v>
      </c>
      <c r="B120" s="17"/>
      <c r="C120" s="16">
        <v>9714</v>
      </c>
      <c r="D120" s="16">
        <v>8939</v>
      </c>
      <c r="E120" s="16">
        <v>1913</v>
      </c>
      <c r="F120" s="16">
        <v>5386</v>
      </c>
      <c r="G120" s="16">
        <v>8700</v>
      </c>
      <c r="H120" s="16">
        <v>7264</v>
      </c>
      <c r="I120" s="16">
        <v>3889</v>
      </c>
      <c r="J120" s="16">
        <v>3204</v>
      </c>
      <c r="K120" s="16">
        <v>5476</v>
      </c>
      <c r="L120" s="16">
        <v>1611</v>
      </c>
    </row>
    <row r="122" spans="1:12" x14ac:dyDescent="0.2">
      <c r="A122" s="17" t="s">
        <v>133</v>
      </c>
      <c r="B122" s="17"/>
      <c r="C122" s="16">
        <v>72698</v>
      </c>
      <c r="D122" s="16">
        <v>77328</v>
      </c>
      <c r="E122" s="16">
        <v>72027</v>
      </c>
      <c r="F122" s="16">
        <v>72046</v>
      </c>
      <c r="G122" s="16">
        <v>81492</v>
      </c>
      <c r="H122" s="16">
        <v>83892</v>
      </c>
      <c r="I122" s="16">
        <v>79982</v>
      </c>
      <c r="J122" s="16">
        <v>84074</v>
      </c>
      <c r="K122" s="16">
        <v>92630</v>
      </c>
      <c r="L122" s="16">
        <v>100240</v>
      </c>
    </row>
    <row r="123" spans="1:12" x14ac:dyDescent="0.2">
      <c r="A123" s="17" t="s">
        <v>134</v>
      </c>
      <c r="B123" s="17"/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</row>
    <row r="125" spans="1:12" x14ac:dyDescent="0.2">
      <c r="A125" s="17" t="s">
        <v>135</v>
      </c>
      <c r="B125" s="17"/>
      <c r="C125" s="16">
        <v>72698</v>
      </c>
      <c r="D125" s="16">
        <v>77328</v>
      </c>
      <c r="E125" s="16">
        <v>72027</v>
      </c>
      <c r="F125" s="16">
        <v>72046</v>
      </c>
      <c r="G125" s="16">
        <v>81492</v>
      </c>
      <c r="H125" s="16">
        <v>83892</v>
      </c>
      <c r="I125" s="16">
        <v>79982</v>
      </c>
      <c r="J125" s="16">
        <v>84074</v>
      </c>
      <c r="K125" s="16">
        <v>92630</v>
      </c>
      <c r="L125" s="16">
        <v>100240</v>
      </c>
    </row>
    <row r="128" spans="1:12" x14ac:dyDescent="0.2">
      <c r="A128" s="18" t="s">
        <v>136</v>
      </c>
    </row>
    <row r="129" spans="1:12" x14ac:dyDescent="0.2">
      <c r="A129" s="16" t="s">
        <v>31</v>
      </c>
      <c r="B129" s="17"/>
      <c r="C129" s="18" t="s">
        <v>32</v>
      </c>
      <c r="D129" s="18" t="s">
        <v>33</v>
      </c>
      <c r="E129" s="18" t="s">
        <v>34</v>
      </c>
      <c r="F129" s="18" t="s">
        <v>35</v>
      </c>
      <c r="G129" s="18" t="s">
        <v>36</v>
      </c>
      <c r="H129" s="18" t="s">
        <v>37</v>
      </c>
      <c r="I129" s="18" t="s">
        <v>38</v>
      </c>
      <c r="J129" s="18" t="s">
        <v>39</v>
      </c>
      <c r="K129" s="18" t="s">
        <v>40</v>
      </c>
      <c r="L129" s="18" t="s">
        <v>41</v>
      </c>
    </row>
    <row r="130" spans="1:12" x14ac:dyDescent="0.2">
      <c r="A130" s="16" t="s">
        <v>42</v>
      </c>
      <c r="B130" s="17"/>
      <c r="C130" s="19" t="s">
        <v>43</v>
      </c>
      <c r="D130" s="19" t="s">
        <v>44</v>
      </c>
      <c r="E130" s="19" t="s">
        <v>45</v>
      </c>
      <c r="F130" s="19" t="s">
        <v>46</v>
      </c>
      <c r="G130" s="19" t="s">
        <v>47</v>
      </c>
      <c r="H130" s="19" t="s">
        <v>48</v>
      </c>
      <c r="I130" s="19" t="s">
        <v>49</v>
      </c>
      <c r="J130" s="19" t="s">
        <v>50</v>
      </c>
      <c r="K130" s="19" t="s">
        <v>51</v>
      </c>
      <c r="L130" s="19" t="s">
        <v>52</v>
      </c>
    </row>
    <row r="131" spans="1:12" x14ac:dyDescent="0.2">
      <c r="A131" s="17" t="s">
        <v>137</v>
      </c>
    </row>
    <row r="132" spans="1:12" x14ac:dyDescent="0.2">
      <c r="A132" s="17" t="s">
        <v>138</v>
      </c>
      <c r="B132" s="17"/>
      <c r="C132" s="16">
        <v>11402</v>
      </c>
      <c r="D132" s="16">
        <v>11707</v>
      </c>
      <c r="E132" s="16">
        <v>8930</v>
      </c>
      <c r="F132" s="16">
        <v>10027</v>
      </c>
      <c r="G132" s="16">
        <v>10194</v>
      </c>
      <c r="H132" s="16">
        <v>9861</v>
      </c>
      <c r="I132" s="16">
        <v>3966</v>
      </c>
      <c r="J132" s="16">
        <v>13103</v>
      </c>
      <c r="K132" s="16">
        <v>14352</v>
      </c>
      <c r="L132" s="16">
        <v>14793</v>
      </c>
    </row>
    <row r="133" spans="1:12" x14ac:dyDescent="0.2">
      <c r="A133" s="17" t="s">
        <v>139</v>
      </c>
      <c r="B133" s="17"/>
      <c r="C133" s="16">
        <v>2982</v>
      </c>
      <c r="D133" s="16">
        <v>3141</v>
      </c>
      <c r="E133" s="16">
        <v>3134</v>
      </c>
      <c r="F133" s="16">
        <v>3078</v>
      </c>
      <c r="G133" s="16">
        <v>2820</v>
      </c>
      <c r="H133" s="16">
        <v>2834</v>
      </c>
      <c r="I133" s="16">
        <v>2824</v>
      </c>
      <c r="J133" s="16">
        <v>3013</v>
      </c>
      <c r="K133" s="16">
        <v>2735</v>
      </c>
      <c r="L133" s="16">
        <v>2807</v>
      </c>
    </row>
    <row r="134" spans="1:12" x14ac:dyDescent="0.2">
      <c r="A134" s="17" t="s">
        <v>140</v>
      </c>
      <c r="B134" s="17"/>
      <c r="C134" s="16">
        <v>0</v>
      </c>
      <c r="D134" s="16">
        <v>78</v>
      </c>
      <c r="E134" s="16">
        <v>388</v>
      </c>
      <c r="F134" s="16">
        <v>577</v>
      </c>
      <c r="G134" s="16">
        <v>5217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</row>
    <row r="135" spans="1:12" x14ac:dyDescent="0.2">
      <c r="A135" s="17" t="s">
        <v>141</v>
      </c>
      <c r="B135" s="17"/>
      <c r="C135" s="16">
        <v>-307</v>
      </c>
      <c r="D135" s="16">
        <v>-44</v>
      </c>
      <c r="E135" s="16">
        <v>-803</v>
      </c>
      <c r="F135" s="16">
        <v>-815</v>
      </c>
      <c r="G135" s="16">
        <v>-601</v>
      </c>
      <c r="H135" s="16">
        <v>-1844</v>
      </c>
      <c r="I135" s="16">
        <v>-411</v>
      </c>
      <c r="J135" s="16">
        <v>-596</v>
      </c>
      <c r="K135" s="16">
        <v>-258</v>
      </c>
      <c r="L135" s="16">
        <v>-402</v>
      </c>
    </row>
    <row r="136" spans="1:12" x14ac:dyDescent="0.2">
      <c r="A136" s="17" t="s">
        <v>142</v>
      </c>
      <c r="B136" s="17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x14ac:dyDescent="0.2">
      <c r="A137" s="17" t="s">
        <v>143</v>
      </c>
      <c r="B137" s="17"/>
      <c r="C137" s="16">
        <v>-916</v>
      </c>
      <c r="D137" s="16"/>
      <c r="E137" s="16"/>
      <c r="F137" s="16">
        <v>-41</v>
      </c>
      <c r="G137" s="16">
        <v>-5490</v>
      </c>
      <c r="H137" s="16">
        <v>-176</v>
      </c>
      <c r="I137" s="16">
        <v>-678</v>
      </c>
      <c r="J137" s="16">
        <v>7</v>
      </c>
      <c r="K137" s="16">
        <v>-16</v>
      </c>
      <c r="L137" s="16">
        <v>-85</v>
      </c>
    </row>
    <row r="138" spans="1:12" x14ac:dyDescent="0.2">
      <c r="A138" s="17" t="s">
        <v>144</v>
      </c>
      <c r="B138" s="17"/>
      <c r="C138" s="16">
        <v>1031</v>
      </c>
      <c r="D138" s="16">
        <v>537</v>
      </c>
      <c r="E138" s="16">
        <v>2345</v>
      </c>
      <c r="F138" s="16">
        <v>969</v>
      </c>
      <c r="G138" s="16">
        <v>1056</v>
      </c>
      <c r="H138" s="16">
        <v>1172</v>
      </c>
      <c r="I138" s="16">
        <v>9173</v>
      </c>
      <c r="J138" s="16">
        <v>666</v>
      </c>
      <c r="K138" s="16">
        <v>1187</v>
      </c>
      <c r="L138" s="16">
        <v>757</v>
      </c>
    </row>
    <row r="139" spans="1:12" x14ac:dyDescent="0.2">
      <c r="A139" s="17" t="s">
        <v>145</v>
      </c>
      <c r="B139" s="17"/>
      <c r="C139" s="16">
        <v>-415</v>
      </c>
      <c r="D139" s="16">
        <v>87</v>
      </c>
      <c r="E139" s="16">
        <v>349</v>
      </c>
      <c r="F139" s="16">
        <v>35</v>
      </c>
      <c r="G139" s="16">
        <v>-322</v>
      </c>
      <c r="H139" s="16">
        <v>-177</v>
      </c>
      <c r="I139" s="16">
        <v>-276</v>
      </c>
      <c r="J139" s="16">
        <v>634</v>
      </c>
      <c r="K139" s="16">
        <v>-342</v>
      </c>
      <c r="L139" s="16">
        <v>-694</v>
      </c>
    </row>
    <row r="140" spans="1:12" x14ac:dyDescent="0.2">
      <c r="A140" s="17" t="s">
        <v>146</v>
      </c>
      <c r="B140" s="17"/>
      <c r="C140" s="16">
        <v>-225</v>
      </c>
      <c r="D140" s="16">
        <v>8</v>
      </c>
      <c r="E140" s="16">
        <v>313</v>
      </c>
      <c r="F140" s="16">
        <v>116</v>
      </c>
      <c r="G140" s="16">
        <v>71</v>
      </c>
      <c r="H140" s="16">
        <v>-188</v>
      </c>
      <c r="I140" s="16">
        <v>-239</v>
      </c>
      <c r="J140" s="16">
        <v>-637</v>
      </c>
      <c r="K140" s="16">
        <v>-309</v>
      </c>
      <c r="L140" s="16">
        <v>-1247</v>
      </c>
    </row>
    <row r="141" spans="1:12" x14ac:dyDescent="0.2">
      <c r="A141" s="17" t="s">
        <v>147</v>
      </c>
      <c r="B141" s="17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x14ac:dyDescent="0.2">
      <c r="A142" s="17" t="s">
        <v>148</v>
      </c>
      <c r="B142" s="17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1:12" x14ac:dyDescent="0.2">
      <c r="A143" s="17" t="s">
        <v>149</v>
      </c>
      <c r="B143" s="17"/>
      <c r="C143" s="16">
        <v>1321</v>
      </c>
      <c r="D143" s="16">
        <v>-1556</v>
      </c>
      <c r="E143" s="16">
        <v>-48</v>
      </c>
      <c r="F143" s="16">
        <v>1489</v>
      </c>
      <c r="G143" s="16">
        <v>-192</v>
      </c>
      <c r="H143" s="16">
        <v>3385</v>
      </c>
      <c r="I143" s="16">
        <v>883</v>
      </c>
      <c r="J143" s="16">
        <v>1213</v>
      </c>
      <c r="K143" s="16">
        <v>1022</v>
      </c>
      <c r="L143" s="16">
        <v>794</v>
      </c>
    </row>
    <row r="145" spans="1:12" x14ac:dyDescent="0.2">
      <c r="A145" s="17" t="s">
        <v>150</v>
      </c>
      <c r="B145" s="17"/>
      <c r="C145" s="16">
        <v>14873</v>
      </c>
      <c r="D145" s="16">
        <v>13958</v>
      </c>
      <c r="E145" s="16">
        <v>14608</v>
      </c>
      <c r="F145" s="16">
        <v>15435</v>
      </c>
      <c r="G145" s="16">
        <v>12753</v>
      </c>
      <c r="H145" s="16">
        <v>14867</v>
      </c>
      <c r="I145" s="16">
        <v>15242</v>
      </c>
      <c r="J145" s="16">
        <v>17403</v>
      </c>
      <c r="K145" s="16">
        <v>18371</v>
      </c>
      <c r="L145" s="16">
        <v>16723</v>
      </c>
    </row>
    <row r="147" spans="1:12" x14ac:dyDescent="0.2">
      <c r="A147" s="17" t="s">
        <v>151</v>
      </c>
    </row>
    <row r="148" spans="1:12" x14ac:dyDescent="0.2">
      <c r="A148" s="17" t="s">
        <v>152</v>
      </c>
      <c r="B148" s="17"/>
      <c r="C148" s="16">
        <v>1726</v>
      </c>
      <c r="D148" s="16">
        <v>829</v>
      </c>
      <c r="E148" s="16">
        <v>163</v>
      </c>
      <c r="F148" s="16"/>
      <c r="G148" s="16">
        <v>26</v>
      </c>
      <c r="H148" s="16"/>
      <c r="I148" s="16">
        <v>62</v>
      </c>
      <c r="J148" s="16">
        <v>5</v>
      </c>
      <c r="K148" s="16">
        <v>55</v>
      </c>
      <c r="L148" s="16">
        <v>0</v>
      </c>
    </row>
    <row r="149" spans="1:12" x14ac:dyDescent="0.2">
      <c r="A149" s="17" t="s">
        <v>153</v>
      </c>
      <c r="B149" s="17"/>
      <c r="C149" s="16"/>
      <c r="D149" s="16">
        <v>24</v>
      </c>
      <c r="E149" s="16"/>
      <c r="F149" s="16">
        <v>93</v>
      </c>
      <c r="G149" s="16"/>
      <c r="H149" s="16">
        <v>27</v>
      </c>
      <c r="I149" s="16"/>
      <c r="J149" s="16">
        <v>6151</v>
      </c>
      <c r="K149" s="16">
        <v>0</v>
      </c>
      <c r="L149" s="16">
        <v>3</v>
      </c>
    </row>
    <row r="150" spans="1:12" x14ac:dyDescent="0.2">
      <c r="A150" s="17" t="s">
        <v>154</v>
      </c>
      <c r="B150" s="17"/>
      <c r="C150" s="16"/>
      <c r="D150" s="16"/>
      <c r="E150" s="16">
        <v>-2444</v>
      </c>
      <c r="F150" s="16">
        <v>-1461</v>
      </c>
      <c r="G150" s="16">
        <v>-3355</v>
      </c>
      <c r="H150" s="16">
        <v>19</v>
      </c>
      <c r="I150" s="16">
        <v>3470</v>
      </c>
      <c r="J150" s="16"/>
      <c r="K150" s="16">
        <v>0</v>
      </c>
      <c r="L150" s="16">
        <v>0</v>
      </c>
    </row>
    <row r="151" spans="1:12" x14ac:dyDescent="0.2">
      <c r="A151" s="17" t="s">
        <v>155</v>
      </c>
      <c r="B151" s="17"/>
      <c r="C151" s="16">
        <v>4008</v>
      </c>
      <c r="D151" s="16">
        <v>3848</v>
      </c>
      <c r="E151" s="16">
        <v>3736</v>
      </c>
      <c r="F151" s="16">
        <v>3314</v>
      </c>
      <c r="G151" s="16">
        <v>3384</v>
      </c>
      <c r="H151" s="16">
        <v>3717</v>
      </c>
      <c r="I151" s="16">
        <v>3347</v>
      </c>
      <c r="J151" s="16">
        <v>3073</v>
      </c>
      <c r="K151" s="16">
        <v>2787</v>
      </c>
      <c r="L151" s="16">
        <v>3156</v>
      </c>
    </row>
    <row r="152" spans="1:12" x14ac:dyDescent="0.2">
      <c r="A152" s="17" t="s">
        <v>156</v>
      </c>
      <c r="B152" s="17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x14ac:dyDescent="0.2">
      <c r="A153" s="17" t="s">
        <v>157</v>
      </c>
      <c r="B153" s="17"/>
      <c r="C153" s="16">
        <v>1145</v>
      </c>
      <c r="D153" s="16">
        <v>24</v>
      </c>
      <c r="E153" s="16">
        <v>137</v>
      </c>
      <c r="F153" s="16">
        <v>186</v>
      </c>
      <c r="G153" s="16">
        <v>16</v>
      </c>
      <c r="H153" s="16">
        <v>109</v>
      </c>
      <c r="I153" s="16">
        <v>3945</v>
      </c>
      <c r="J153" s="16">
        <v>58</v>
      </c>
      <c r="K153" s="16">
        <v>34</v>
      </c>
      <c r="L153" s="16">
        <v>1381</v>
      </c>
    </row>
    <row r="154" spans="1:12" x14ac:dyDescent="0.2">
      <c r="A154" s="17" t="s">
        <v>158</v>
      </c>
      <c r="B154" s="17"/>
      <c r="C154" s="16">
        <v>584</v>
      </c>
      <c r="D154" s="16">
        <v>570</v>
      </c>
      <c r="E154" s="16">
        <v>3589</v>
      </c>
      <c r="F154" s="16">
        <v>-707</v>
      </c>
      <c r="G154" s="16">
        <v>1092</v>
      </c>
      <c r="H154" s="16">
        <v>269</v>
      </c>
      <c r="I154" s="16">
        <v>394</v>
      </c>
      <c r="J154" s="16">
        <v>30</v>
      </c>
      <c r="K154" s="16">
        <v>42</v>
      </c>
      <c r="L154" s="16">
        <v>110</v>
      </c>
    </row>
    <row r="156" spans="1:12" x14ac:dyDescent="0.2">
      <c r="A156" s="17" t="s">
        <v>159</v>
      </c>
      <c r="B156" s="17"/>
      <c r="C156" s="16">
        <v>-6295</v>
      </c>
      <c r="D156" s="16">
        <v>-4107</v>
      </c>
      <c r="E156" s="16">
        <v>-2891</v>
      </c>
      <c r="F156" s="16">
        <v>-5575</v>
      </c>
      <c r="G156" s="16">
        <v>-5689</v>
      </c>
      <c r="H156" s="16">
        <v>-3511</v>
      </c>
      <c r="I156" s="16">
        <v>-3490</v>
      </c>
      <c r="J156" s="16">
        <v>3045</v>
      </c>
      <c r="K156" s="16">
        <v>-2834</v>
      </c>
      <c r="L156" s="16">
        <v>-4424</v>
      </c>
    </row>
    <row r="158" spans="1:12" x14ac:dyDescent="0.2">
      <c r="A158" s="17" t="s">
        <v>160</v>
      </c>
    </row>
    <row r="159" spans="1:12" x14ac:dyDescent="0.2">
      <c r="A159" s="17" t="s">
        <v>161</v>
      </c>
      <c r="B159" s="17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2" x14ac:dyDescent="0.2">
      <c r="A160" s="17" t="s">
        <v>162</v>
      </c>
      <c r="B160" s="17"/>
      <c r="C160" s="16">
        <v>5986</v>
      </c>
      <c r="D160" s="16">
        <v>6005</v>
      </c>
      <c r="E160" s="16">
        <v>4604</v>
      </c>
      <c r="F160" s="16">
        <v>4004</v>
      </c>
      <c r="G160" s="16">
        <v>5204</v>
      </c>
      <c r="H160" s="16">
        <v>7004</v>
      </c>
      <c r="I160" s="16">
        <v>5003</v>
      </c>
      <c r="J160" s="16">
        <v>7405</v>
      </c>
      <c r="K160" s="16">
        <v>11009</v>
      </c>
      <c r="L160" s="16">
        <v>10003</v>
      </c>
    </row>
    <row r="161" spans="1:12" x14ac:dyDescent="0.2">
      <c r="A161" s="17" t="s">
        <v>127</v>
      </c>
      <c r="B161" s="17"/>
      <c r="C161" s="16">
        <v>6519</v>
      </c>
      <c r="D161" s="16">
        <v>6911</v>
      </c>
      <c r="E161" s="16">
        <v>7287</v>
      </c>
      <c r="F161" s="16">
        <v>7436</v>
      </c>
      <c r="G161" s="16">
        <v>7236</v>
      </c>
      <c r="H161" s="16">
        <v>7310</v>
      </c>
      <c r="I161" s="16">
        <v>7498</v>
      </c>
      <c r="J161" s="16">
        <v>7789</v>
      </c>
      <c r="K161" s="16">
        <v>8263</v>
      </c>
      <c r="L161" s="16">
        <v>8770</v>
      </c>
    </row>
    <row r="162" spans="1:12" x14ac:dyDescent="0.2">
      <c r="A162" s="17" t="s">
        <v>163</v>
      </c>
      <c r="B162" s="17"/>
      <c r="C162" s="16">
        <v>2331</v>
      </c>
      <c r="D162" s="16">
        <v>4334</v>
      </c>
      <c r="E162" s="16">
        <v>2138</v>
      </c>
      <c r="F162" s="16">
        <v>3916</v>
      </c>
      <c r="G162" s="16">
        <v>3603</v>
      </c>
      <c r="H162" s="16">
        <v>5072</v>
      </c>
      <c r="I162" s="16">
        <v>2367</v>
      </c>
      <c r="J162" s="16">
        <v>4951</v>
      </c>
      <c r="K162" s="16">
        <v>4417</v>
      </c>
      <c r="L162" s="16">
        <v>4385</v>
      </c>
    </row>
    <row r="163" spans="1:12" x14ac:dyDescent="0.2">
      <c r="A163" s="17" t="s">
        <v>164</v>
      </c>
      <c r="B163" s="17"/>
      <c r="C163" s="16">
        <v>3752</v>
      </c>
      <c r="D163" s="16">
        <v>4095</v>
      </c>
      <c r="E163" s="16">
        <v>3512</v>
      </c>
      <c r="F163" s="16">
        <v>2213</v>
      </c>
      <c r="G163" s="16">
        <v>4931</v>
      </c>
      <c r="H163" s="16">
        <v>2873</v>
      </c>
      <c r="I163" s="16">
        <v>969</v>
      </c>
      <c r="J163" s="16">
        <v>2447</v>
      </c>
      <c r="K163" s="16">
        <v>4987</v>
      </c>
      <c r="L163" s="16">
        <v>2343</v>
      </c>
    </row>
    <row r="164" spans="1:12" x14ac:dyDescent="0.2">
      <c r="A164" s="17" t="s">
        <v>165</v>
      </c>
      <c r="B164" s="17"/>
      <c r="C164" s="16">
        <v>3406</v>
      </c>
      <c r="D164" s="16">
        <v>3304</v>
      </c>
      <c r="E164" s="16">
        <v>-2580</v>
      </c>
      <c r="F164" s="16">
        <v>-418</v>
      </c>
      <c r="G164" s="16">
        <v>2727</v>
      </c>
      <c r="H164" s="16">
        <v>-3437</v>
      </c>
      <c r="I164" s="16">
        <v>-2215</v>
      </c>
      <c r="J164" s="16">
        <v>2345</v>
      </c>
      <c r="K164" s="16">
        <v>-3333</v>
      </c>
      <c r="L164" s="16">
        <v>-150</v>
      </c>
    </row>
    <row r="165" spans="1:12" x14ac:dyDescent="0.2">
      <c r="A165" s="17" t="s">
        <v>166</v>
      </c>
      <c r="B165" s="17"/>
      <c r="C165" s="16">
        <v>3449</v>
      </c>
      <c r="D165" s="16">
        <v>2094</v>
      </c>
      <c r="E165" s="16">
        <v>2826</v>
      </c>
      <c r="F165" s="16">
        <v>942</v>
      </c>
      <c r="G165" s="16">
        <v>2473</v>
      </c>
      <c r="H165" s="16">
        <v>1177</v>
      </c>
      <c r="I165" s="16">
        <v>3324</v>
      </c>
      <c r="J165" s="16">
        <v>1978</v>
      </c>
      <c r="K165" s="16">
        <v>1644</v>
      </c>
      <c r="L165" s="16">
        <v>2005</v>
      </c>
    </row>
    <row r="167" spans="1:12" x14ac:dyDescent="0.2">
      <c r="A167" s="17" t="s">
        <v>167</v>
      </c>
      <c r="B167" s="17"/>
      <c r="C167" s="16">
        <v>-7071</v>
      </c>
      <c r="D167" s="16">
        <v>-7279</v>
      </c>
      <c r="E167" s="16">
        <v>-13019</v>
      </c>
      <c r="F167" s="16">
        <v>-9213</v>
      </c>
      <c r="G167" s="16">
        <v>-8568</v>
      </c>
      <c r="H167" s="16">
        <v>-14375</v>
      </c>
      <c r="I167" s="16">
        <v>-9994</v>
      </c>
      <c r="J167" s="16">
        <v>-8367</v>
      </c>
      <c r="K167" s="16">
        <v>-21531</v>
      </c>
      <c r="L167" s="16">
        <v>-14876</v>
      </c>
    </row>
    <row r="169" spans="1:12" x14ac:dyDescent="0.2">
      <c r="A169" s="17" t="s">
        <v>168</v>
      </c>
      <c r="B169" s="17"/>
      <c r="C169" s="16">
        <v>4</v>
      </c>
      <c r="D169" s="16">
        <v>39</v>
      </c>
      <c r="E169" s="16">
        <v>-411</v>
      </c>
      <c r="F169" s="16">
        <v>-381</v>
      </c>
      <c r="G169" s="16">
        <v>-29</v>
      </c>
      <c r="H169" s="16">
        <v>19</v>
      </c>
      <c r="I169" s="16">
        <v>-88</v>
      </c>
      <c r="J169" s="16">
        <v>-139</v>
      </c>
      <c r="K169" s="16">
        <v>101</v>
      </c>
      <c r="L169" s="16">
        <v>-497</v>
      </c>
    </row>
    <row r="171" spans="1:12" x14ac:dyDescent="0.2">
      <c r="A171" s="17" t="s">
        <v>169</v>
      </c>
      <c r="B171" s="17"/>
      <c r="C171" s="16">
        <v>1511</v>
      </c>
      <c r="D171" s="16">
        <v>2611</v>
      </c>
      <c r="E171" s="16">
        <v>-1713</v>
      </c>
      <c r="F171" s="16">
        <v>266</v>
      </c>
      <c r="G171" s="16">
        <v>-1533</v>
      </c>
      <c r="H171" s="16">
        <v>-3000</v>
      </c>
      <c r="I171" s="16">
        <v>1670</v>
      </c>
      <c r="J171" s="16">
        <v>11942</v>
      </c>
      <c r="K171" s="16">
        <v>-5893</v>
      </c>
      <c r="L171" s="16">
        <v>-3074</v>
      </c>
    </row>
    <row r="173" spans="1:12" x14ac:dyDescent="0.2">
      <c r="A173" s="17" t="s">
        <v>170</v>
      </c>
    </row>
    <row r="174" spans="1:12" x14ac:dyDescent="0.2">
      <c r="A174" s="17" t="s">
        <v>171</v>
      </c>
      <c r="B174" s="17"/>
      <c r="C174" s="16">
        <v>683</v>
      </c>
      <c r="D174" s="16">
        <v>686</v>
      </c>
      <c r="E174" s="16">
        <v>678</v>
      </c>
      <c r="F174" s="16">
        <v>569</v>
      </c>
      <c r="G174" s="16">
        <v>518</v>
      </c>
      <c r="H174" s="16">
        <v>529</v>
      </c>
      <c r="I174" s="16">
        <v>497</v>
      </c>
      <c r="J174" s="16">
        <v>434</v>
      </c>
      <c r="K174" s="16">
        <v>531</v>
      </c>
      <c r="L174" s="16">
        <v>451</v>
      </c>
    </row>
    <row r="175" spans="1:12" x14ac:dyDescent="0.2">
      <c r="A175" s="17" t="s">
        <v>172</v>
      </c>
      <c r="B175" s="17"/>
      <c r="C175" s="16">
        <v>3780</v>
      </c>
      <c r="D175" s="16">
        <v>3320</v>
      </c>
      <c r="E175" s="16">
        <v>4558</v>
      </c>
      <c r="F175" s="16">
        <v>3730</v>
      </c>
      <c r="G175" s="16">
        <v>3714</v>
      </c>
      <c r="H175" s="16">
        <v>2830</v>
      </c>
      <c r="I175" s="16">
        <v>3064</v>
      </c>
      <c r="J175" s="16">
        <v>3550</v>
      </c>
      <c r="K175" s="16">
        <v>3822</v>
      </c>
      <c r="L175" s="16">
        <v>3818</v>
      </c>
    </row>
    <row r="178" spans="1:12" x14ac:dyDescent="0.2">
      <c r="A178" s="18" t="s">
        <v>173</v>
      </c>
    </row>
    <row r="179" spans="1:12" x14ac:dyDescent="0.2">
      <c r="A179" s="16" t="s">
        <v>31</v>
      </c>
      <c r="B179" s="17"/>
      <c r="C179" s="18" t="s">
        <v>32</v>
      </c>
      <c r="D179" s="18" t="s">
        <v>33</v>
      </c>
      <c r="E179" s="18" t="s">
        <v>34</v>
      </c>
      <c r="F179" s="18" t="s">
        <v>35</v>
      </c>
      <c r="G179" s="18" t="s">
        <v>36</v>
      </c>
      <c r="H179" s="18" t="s">
        <v>37</v>
      </c>
      <c r="I179" s="18" t="s">
        <v>38</v>
      </c>
      <c r="J179" s="18" t="s">
        <v>39</v>
      </c>
      <c r="K179" s="18" t="s">
        <v>40</v>
      </c>
      <c r="L179" s="18" t="s">
        <v>41</v>
      </c>
    </row>
    <row r="180" spans="1:12" x14ac:dyDescent="0.2">
      <c r="A180" s="16" t="s">
        <v>42</v>
      </c>
      <c r="B180" s="17"/>
      <c r="C180" s="19" t="s">
        <v>43</v>
      </c>
      <c r="D180" s="19" t="s">
        <v>44</v>
      </c>
      <c r="E180" s="19" t="s">
        <v>45</v>
      </c>
      <c r="F180" s="19" t="s">
        <v>46</v>
      </c>
      <c r="G180" s="19" t="s">
        <v>47</v>
      </c>
      <c r="H180" s="19" t="s">
        <v>48</v>
      </c>
      <c r="I180" s="19" t="s">
        <v>49</v>
      </c>
      <c r="J180" s="19" t="s">
        <v>50</v>
      </c>
      <c r="K180" s="19" t="s">
        <v>51</v>
      </c>
      <c r="L180" s="19" t="s">
        <v>52</v>
      </c>
    </row>
    <row r="181" spans="1:12" x14ac:dyDescent="0.2">
      <c r="A181" s="17" t="s">
        <v>174</v>
      </c>
      <c r="B181" s="17"/>
      <c r="C181" s="16">
        <v>6508</v>
      </c>
      <c r="D181" s="16">
        <v>6386</v>
      </c>
      <c r="E181" s="16">
        <v>4861</v>
      </c>
      <c r="F181" s="16">
        <v>4373</v>
      </c>
      <c r="G181" s="16">
        <v>4594</v>
      </c>
      <c r="H181" s="16">
        <v>4686</v>
      </c>
      <c r="I181" s="16">
        <v>4951</v>
      </c>
      <c r="J181" s="16">
        <v>4178</v>
      </c>
      <c r="K181" s="16">
        <v>4725</v>
      </c>
      <c r="L181" s="16">
        <v>5143</v>
      </c>
    </row>
    <row r="182" spans="1:12" x14ac:dyDescent="0.2">
      <c r="A182" s="17" t="s">
        <v>175</v>
      </c>
      <c r="B182" s="17"/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</row>
    <row r="183" spans="1:12" x14ac:dyDescent="0.2">
      <c r="A183" s="17" t="s">
        <v>176</v>
      </c>
      <c r="B183" s="17"/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</row>
    <row r="185" spans="1:12" x14ac:dyDescent="0.2">
      <c r="A185" s="17" t="s">
        <v>177</v>
      </c>
      <c r="B185" s="17"/>
      <c r="C185" s="16">
        <v>6508</v>
      </c>
      <c r="D185" s="16">
        <v>6386</v>
      </c>
      <c r="E185" s="16">
        <v>4861</v>
      </c>
      <c r="F185" s="16">
        <v>4373</v>
      </c>
      <c r="G185" s="16">
        <v>4594</v>
      </c>
      <c r="H185" s="16">
        <v>4686</v>
      </c>
      <c r="I185" s="16">
        <v>4951</v>
      </c>
      <c r="J185" s="16">
        <v>4178</v>
      </c>
      <c r="K185" s="16">
        <v>4725</v>
      </c>
      <c r="L185" s="16">
        <v>5143</v>
      </c>
    </row>
    <row r="187" spans="1:12" x14ac:dyDescent="0.2">
      <c r="A187" s="17" t="s">
        <v>178</v>
      </c>
      <c r="B187" s="17"/>
      <c r="C187" s="16">
        <v>1704</v>
      </c>
      <c r="D187" s="16">
        <v>1742</v>
      </c>
      <c r="E187" s="16">
        <v>1392</v>
      </c>
      <c r="F187" s="16">
        <v>1188</v>
      </c>
      <c r="G187" s="16">
        <v>1308</v>
      </c>
      <c r="H187" s="16">
        <v>1335</v>
      </c>
      <c r="I187" s="16">
        <v>1289</v>
      </c>
      <c r="J187" s="16">
        <v>1414</v>
      </c>
      <c r="K187" s="16">
        <v>1645</v>
      </c>
      <c r="L187" s="16">
        <v>2168</v>
      </c>
    </row>
    <row r="188" spans="1:12" x14ac:dyDescent="0.2">
      <c r="A188" s="17" t="s">
        <v>179</v>
      </c>
      <c r="B188" s="17"/>
      <c r="C188" s="16">
        <v>722</v>
      </c>
      <c r="D188" s="16">
        <v>684</v>
      </c>
      <c r="E188" s="16">
        <v>550</v>
      </c>
      <c r="F188" s="16">
        <v>563</v>
      </c>
      <c r="G188" s="16">
        <v>529</v>
      </c>
      <c r="H188" s="16">
        <v>588</v>
      </c>
      <c r="I188" s="16">
        <v>612</v>
      </c>
      <c r="J188" s="16">
        <v>674</v>
      </c>
      <c r="K188" s="16">
        <v>719</v>
      </c>
      <c r="L188" s="16">
        <v>856</v>
      </c>
    </row>
    <row r="189" spans="1:12" x14ac:dyDescent="0.2">
      <c r="A189" s="17" t="s">
        <v>180</v>
      </c>
      <c r="B189" s="17"/>
      <c r="C189" s="16">
        <v>4483</v>
      </c>
      <c r="D189" s="16">
        <v>4333</v>
      </c>
      <c r="E189" s="16">
        <v>3512</v>
      </c>
      <c r="F189" s="16">
        <v>2965</v>
      </c>
      <c r="G189" s="16">
        <v>2787</v>
      </c>
      <c r="H189" s="16">
        <v>2815</v>
      </c>
      <c r="I189" s="16">
        <v>3116</v>
      </c>
      <c r="J189" s="16">
        <v>3410</v>
      </c>
      <c r="K189" s="16">
        <v>3619</v>
      </c>
      <c r="L189" s="16">
        <v>3900</v>
      </c>
    </row>
    <row r="190" spans="1:12" x14ac:dyDescent="0.2">
      <c r="A190" s="17" t="s">
        <v>181</v>
      </c>
      <c r="B190" s="17"/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</row>
    <row r="192" spans="1:12" x14ac:dyDescent="0.2">
      <c r="A192" s="17" t="s">
        <v>182</v>
      </c>
      <c r="B192" s="17"/>
      <c r="C192" s="16">
        <v>6909</v>
      </c>
      <c r="D192" s="16">
        <v>6759</v>
      </c>
      <c r="E192" s="16">
        <v>5454</v>
      </c>
      <c r="F192" s="16">
        <v>4716</v>
      </c>
      <c r="G192" s="16">
        <v>4624</v>
      </c>
      <c r="H192" s="16">
        <v>4738</v>
      </c>
      <c r="I192" s="16">
        <v>5017</v>
      </c>
      <c r="J192" s="16">
        <v>5498</v>
      </c>
      <c r="K192" s="16">
        <v>5983</v>
      </c>
      <c r="L192" s="16">
        <v>6924</v>
      </c>
    </row>
    <row r="194" spans="1:12" x14ac:dyDescent="0.2">
      <c r="A194" s="17" t="s">
        <v>183</v>
      </c>
      <c r="B194" s="17"/>
      <c r="C194" s="16">
        <v>-4506</v>
      </c>
      <c r="D194" s="16">
        <v>-4307</v>
      </c>
      <c r="E194" s="16">
        <v>-2772</v>
      </c>
      <c r="F194" s="16">
        <v>-2760</v>
      </c>
      <c r="G194" s="16">
        <v>-1676</v>
      </c>
      <c r="H194" s="16">
        <v>-1772</v>
      </c>
      <c r="I194" s="16">
        <v>-3388</v>
      </c>
      <c r="J194" s="16">
        <v>-2747</v>
      </c>
      <c r="K194" s="16">
        <v>-3839</v>
      </c>
      <c r="L194" s="16">
        <v>-3852</v>
      </c>
    </row>
    <row r="195" spans="1:12" x14ac:dyDescent="0.2">
      <c r="A195" s="17" t="s">
        <v>184</v>
      </c>
      <c r="B195" s="17"/>
      <c r="C195" s="16">
        <v>0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</row>
    <row r="196" spans="1:12" x14ac:dyDescent="0.2">
      <c r="A196" s="17" t="s">
        <v>185</v>
      </c>
      <c r="B196" s="17"/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</row>
    <row r="197" spans="1:12" x14ac:dyDescent="0.2">
      <c r="A197" s="17" t="s">
        <v>186</v>
      </c>
      <c r="B197" s="17"/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</row>
    <row r="198" spans="1:12" x14ac:dyDescent="0.2">
      <c r="A198" s="17" t="s">
        <v>187</v>
      </c>
      <c r="B198" s="17"/>
      <c r="C198" s="16">
        <v>21171</v>
      </c>
      <c r="D198" s="16">
        <v>21511</v>
      </c>
      <c r="E198" s="16">
        <v>18083</v>
      </c>
      <c r="F198" s="16">
        <v>18471</v>
      </c>
      <c r="G198" s="16">
        <v>14864</v>
      </c>
      <c r="H198" s="16">
        <v>18918</v>
      </c>
      <c r="I198" s="16">
        <v>19743</v>
      </c>
      <c r="J198" s="16">
        <v>22567</v>
      </c>
      <c r="K198" s="16">
        <v>23320</v>
      </c>
      <c r="L198" s="16">
        <v>21594</v>
      </c>
    </row>
    <row r="199" spans="1:12" x14ac:dyDescent="0.2">
      <c r="A199" s="17" t="s">
        <v>188</v>
      </c>
      <c r="B199" s="17"/>
      <c r="C199" s="16">
        <v>701</v>
      </c>
      <c r="D199" s="16">
        <v>640</v>
      </c>
      <c r="E199" s="16">
        <v>572</v>
      </c>
      <c r="F199" s="16">
        <v>498</v>
      </c>
      <c r="G199" s="16">
        <v>417</v>
      </c>
      <c r="H199" s="16">
        <v>327</v>
      </c>
      <c r="I199" s="16">
        <v>228</v>
      </c>
      <c r="J199" s="16">
        <v>119</v>
      </c>
      <c r="K199" s="16">
        <v>0</v>
      </c>
      <c r="L199" s="16">
        <v>0</v>
      </c>
    </row>
    <row r="200" spans="1:12" x14ac:dyDescent="0.2">
      <c r="A200" s="17" t="s">
        <v>189</v>
      </c>
      <c r="B200" s="17"/>
      <c r="C200" s="16">
        <v>1714</v>
      </c>
      <c r="D200" s="16">
        <v>1884</v>
      </c>
      <c r="E200" s="16">
        <v>2394</v>
      </c>
      <c r="F200" s="16">
        <v>2691</v>
      </c>
      <c r="G200" s="16">
        <v>4382</v>
      </c>
      <c r="H200" s="16">
        <v>3283</v>
      </c>
      <c r="I200" s="16">
        <v>3779</v>
      </c>
      <c r="J200" s="16">
        <v>4250</v>
      </c>
      <c r="K200" s="16">
        <v>4249</v>
      </c>
      <c r="L200" s="16">
        <v>5701</v>
      </c>
    </row>
    <row r="201" spans="1:12" x14ac:dyDescent="0.2">
      <c r="A201" s="17" t="s">
        <v>190</v>
      </c>
      <c r="B201" s="17"/>
      <c r="C201" s="16">
        <v>31</v>
      </c>
      <c r="D201" s="16">
        <v>83</v>
      </c>
      <c r="E201" s="16">
        <v>52</v>
      </c>
      <c r="F201" s="16">
        <v>45</v>
      </c>
      <c r="G201" s="16">
        <v>51</v>
      </c>
      <c r="H201" s="16">
        <v>107</v>
      </c>
      <c r="I201" s="16">
        <v>33</v>
      </c>
      <c r="J201" s="16">
        <v>0</v>
      </c>
      <c r="K201" s="16">
        <v>0</v>
      </c>
      <c r="L201" s="16">
        <v>0</v>
      </c>
    </row>
    <row r="203" spans="1:12" x14ac:dyDescent="0.2">
      <c r="A203" s="17" t="s">
        <v>191</v>
      </c>
      <c r="B203" s="17"/>
      <c r="C203" s="16">
        <v>19111</v>
      </c>
      <c r="D203" s="16">
        <v>19811</v>
      </c>
      <c r="E203" s="16">
        <v>18329</v>
      </c>
      <c r="F203" s="16">
        <v>18945</v>
      </c>
      <c r="G203" s="16">
        <v>18038</v>
      </c>
      <c r="H203" s="16">
        <v>20863</v>
      </c>
      <c r="I203" s="16">
        <v>20395</v>
      </c>
      <c r="J203" s="16">
        <v>24189</v>
      </c>
      <c r="K203" s="16">
        <v>23730</v>
      </c>
      <c r="L203" s="16">
        <v>23443</v>
      </c>
    </row>
    <row r="205" spans="1:12" x14ac:dyDescent="0.2">
      <c r="A205" s="17" t="s">
        <v>192</v>
      </c>
    </row>
    <row r="206" spans="1:12" x14ac:dyDescent="0.2">
      <c r="A206" s="17" t="s">
        <v>193</v>
      </c>
      <c r="B206" s="17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x14ac:dyDescent="0.2">
      <c r="A207" s="17" t="s">
        <v>155</v>
      </c>
      <c r="B207" s="17"/>
      <c r="C207" s="16">
        <v>4008</v>
      </c>
      <c r="D207" s="16">
        <v>3848</v>
      </c>
      <c r="E207" s="16">
        <v>3736</v>
      </c>
      <c r="F207" s="16">
        <v>3314</v>
      </c>
      <c r="G207" s="16">
        <v>3384</v>
      </c>
      <c r="H207" s="16">
        <v>3717</v>
      </c>
      <c r="I207" s="16">
        <v>3347</v>
      </c>
      <c r="J207" s="16">
        <v>3073</v>
      </c>
      <c r="K207" s="16">
        <v>2787</v>
      </c>
      <c r="L207" s="16">
        <v>3156</v>
      </c>
    </row>
    <row r="208" spans="1:12" x14ac:dyDescent="0.2">
      <c r="A208" s="17" t="s">
        <v>194</v>
      </c>
      <c r="B208" s="17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x14ac:dyDescent="0.2">
      <c r="A209" s="17" t="s">
        <v>195</v>
      </c>
      <c r="B209" s="17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1" spans="1:12" x14ac:dyDescent="0.2">
      <c r="A211" s="17" t="s">
        <v>196</v>
      </c>
      <c r="B211" s="17"/>
      <c r="C211" s="16">
        <v>43012</v>
      </c>
      <c r="D211" s="16">
        <v>44427</v>
      </c>
      <c r="E211" s="16">
        <v>41347</v>
      </c>
      <c r="F211" s="16">
        <v>39866</v>
      </c>
      <c r="G211" s="16">
        <v>40148</v>
      </c>
      <c r="H211" s="16">
        <v>41847</v>
      </c>
      <c r="I211" s="16">
        <v>43393</v>
      </c>
      <c r="J211" s="16">
        <v>44621</v>
      </c>
      <c r="K211" s="16">
        <v>47506</v>
      </c>
      <c r="L211" s="16">
        <v>47457</v>
      </c>
    </row>
    <row r="213" spans="1:12" x14ac:dyDescent="0.2">
      <c r="A213" s="17" t="s">
        <v>197</v>
      </c>
    </row>
    <row r="214" spans="1:12" x14ac:dyDescent="0.2">
      <c r="A214" s="17" t="s">
        <v>193</v>
      </c>
      <c r="B214" s="17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x14ac:dyDescent="0.2">
      <c r="A215" s="17" t="s">
        <v>198</v>
      </c>
      <c r="B215" s="17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x14ac:dyDescent="0.2">
      <c r="A216" s="17" t="s">
        <v>199</v>
      </c>
      <c r="B216" s="17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x14ac:dyDescent="0.2">
      <c r="A217" s="17" t="s">
        <v>194</v>
      </c>
      <c r="B217" s="17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 x14ac:dyDescent="0.2">
      <c r="A218" s="17" t="s">
        <v>195</v>
      </c>
      <c r="B218" s="17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20" spans="1:12" x14ac:dyDescent="0.2">
      <c r="A220" s="17" t="s">
        <v>196</v>
      </c>
      <c r="B220" s="17"/>
      <c r="C220" s="16">
        <v>21346</v>
      </c>
      <c r="D220" s="16">
        <v>22123</v>
      </c>
      <c r="E220" s="16">
        <v>21079</v>
      </c>
      <c r="F220" s="16">
        <v>20481</v>
      </c>
      <c r="G220" s="16">
        <v>20255</v>
      </c>
      <c r="H220" s="16">
        <v>21247</v>
      </c>
      <c r="I220" s="16">
        <v>22122</v>
      </c>
      <c r="J220" s="16">
        <v>23079</v>
      </c>
      <c r="K220" s="16">
        <v>25012</v>
      </c>
      <c r="L220" s="16">
        <v>25502</v>
      </c>
    </row>
    <row r="222" spans="1:12" x14ac:dyDescent="0.2">
      <c r="A222" s="17" t="s">
        <v>200</v>
      </c>
      <c r="B222" s="17"/>
      <c r="C222" s="16">
        <v>180</v>
      </c>
      <c r="D222" s="16">
        <v>135</v>
      </c>
      <c r="E222" s="16">
        <v>-611</v>
      </c>
      <c r="F222" s="16">
        <v>33</v>
      </c>
      <c r="G222" s="16">
        <v>28</v>
      </c>
      <c r="H222" s="16">
        <v>-1989</v>
      </c>
      <c r="I222" s="16">
        <v>-296</v>
      </c>
      <c r="J222" s="16">
        <v>39</v>
      </c>
      <c r="K222" s="16">
        <v>-65</v>
      </c>
      <c r="L222" s="16">
        <v>-320</v>
      </c>
    </row>
    <row r="223" spans="1:12" x14ac:dyDescent="0.2">
      <c r="A223" s="17" t="s">
        <v>201</v>
      </c>
      <c r="B223" s="17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x14ac:dyDescent="0.2">
      <c r="A224" s="17" t="s">
        <v>202</v>
      </c>
      <c r="B224" s="17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x14ac:dyDescent="0.2">
      <c r="A225" s="17" t="s">
        <v>203</v>
      </c>
      <c r="B225" s="17"/>
      <c r="C225" s="16">
        <v>1885</v>
      </c>
      <c r="D225" s="16">
        <v>1606</v>
      </c>
      <c r="E225" s="16">
        <v>2272</v>
      </c>
      <c r="F225" s="16">
        <v>1673</v>
      </c>
      <c r="G225" s="16">
        <v>1531</v>
      </c>
      <c r="H225" s="16">
        <v>3965</v>
      </c>
      <c r="I225" s="16">
        <v>1064</v>
      </c>
      <c r="J225" s="16">
        <v>1266</v>
      </c>
      <c r="K225" s="16">
        <v>1663</v>
      </c>
      <c r="L225" s="16">
        <v>1916</v>
      </c>
    </row>
    <row r="226" spans="1:12" x14ac:dyDescent="0.2">
      <c r="A226" s="17" t="s">
        <v>204</v>
      </c>
      <c r="B226" s="17"/>
      <c r="C226" s="16">
        <v>1584</v>
      </c>
      <c r="D226" s="16">
        <v>1379</v>
      </c>
      <c r="E226" s="16">
        <v>1195</v>
      </c>
      <c r="F226" s="16">
        <v>1483</v>
      </c>
      <c r="G226" s="16">
        <v>1243</v>
      </c>
      <c r="H226" s="16">
        <v>1131</v>
      </c>
      <c r="I226" s="16">
        <v>1259</v>
      </c>
      <c r="J226" s="16">
        <v>1769</v>
      </c>
      <c r="K226" s="16">
        <v>1534</v>
      </c>
      <c r="L226" s="16">
        <v>1333</v>
      </c>
    </row>
    <row r="227" spans="1:12" x14ac:dyDescent="0.2">
      <c r="A227" s="17" t="s">
        <v>205</v>
      </c>
      <c r="B227" s="17"/>
      <c r="C227" s="16">
        <v>279</v>
      </c>
      <c r="D227" s="16">
        <v>237</v>
      </c>
      <c r="E227" s="16">
        <v>252</v>
      </c>
      <c r="F227" s="16">
        <v>224</v>
      </c>
      <c r="G227" s="16">
        <v>241</v>
      </c>
      <c r="H227" s="16">
        <v>213</v>
      </c>
      <c r="I227" s="16">
        <v>191</v>
      </c>
      <c r="J227" s="16">
        <v>292</v>
      </c>
      <c r="K227" s="16">
        <v>324</v>
      </c>
      <c r="L227" s="16">
        <v>355</v>
      </c>
    </row>
    <row r="228" spans="1:12" x14ac:dyDescent="0.2">
      <c r="A228" s="17" t="s">
        <v>206</v>
      </c>
      <c r="B228" s="17"/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</row>
    <row r="230" spans="1:12" x14ac:dyDescent="0.2">
      <c r="A230" s="17" t="s">
        <v>207</v>
      </c>
      <c r="B230" s="17"/>
      <c r="C230" s="16">
        <v>3441</v>
      </c>
      <c r="D230" s="16">
        <v>3178</v>
      </c>
      <c r="E230" s="16">
        <v>2916</v>
      </c>
      <c r="F230" s="16">
        <v>3342</v>
      </c>
      <c r="G230" s="16">
        <v>3063</v>
      </c>
      <c r="H230" s="16">
        <v>3465</v>
      </c>
      <c r="I230" s="16">
        <v>2103</v>
      </c>
      <c r="J230" s="16">
        <v>2731</v>
      </c>
      <c r="K230" s="16">
        <v>3263</v>
      </c>
      <c r="L230" s="16">
        <v>3202</v>
      </c>
    </row>
    <row r="232" spans="1:12" x14ac:dyDescent="0.2">
      <c r="A232" s="17" t="s">
        <v>208</v>
      </c>
    </row>
    <row r="233" spans="1:12" x14ac:dyDescent="0.2">
      <c r="A233" s="17" t="s">
        <v>209</v>
      </c>
      <c r="B233" s="17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x14ac:dyDescent="0.2">
      <c r="A234" s="17" t="s">
        <v>210</v>
      </c>
      <c r="B234" s="17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1:12" x14ac:dyDescent="0.2">
      <c r="A235" s="17" t="s">
        <v>211</v>
      </c>
      <c r="B235" s="17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 x14ac:dyDescent="0.2">
      <c r="A236" s="17" t="s">
        <v>212</v>
      </c>
      <c r="B236" s="17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8" spans="1:12" x14ac:dyDescent="0.2">
      <c r="A238" s="17" t="s">
        <v>213</v>
      </c>
      <c r="B238" s="17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41" spans="1:12" x14ac:dyDescent="0.2">
      <c r="A241" s="18" t="s">
        <v>214</v>
      </c>
    </row>
    <row r="242" spans="1:12" x14ac:dyDescent="0.2">
      <c r="A242" s="16" t="s">
        <v>31</v>
      </c>
      <c r="B242" s="17"/>
      <c r="C242" s="18" t="s">
        <v>32</v>
      </c>
      <c r="D242" s="18" t="s">
        <v>33</v>
      </c>
      <c r="E242" s="18" t="s">
        <v>34</v>
      </c>
      <c r="F242" s="18" t="s">
        <v>35</v>
      </c>
      <c r="G242" s="18" t="s">
        <v>36</v>
      </c>
      <c r="H242" s="18" t="s">
        <v>37</v>
      </c>
      <c r="I242" s="18" t="s">
        <v>38</v>
      </c>
      <c r="J242" s="18" t="s">
        <v>39</v>
      </c>
      <c r="K242" s="18" t="s">
        <v>40</v>
      </c>
      <c r="L242" s="18" t="s">
        <v>41</v>
      </c>
    </row>
    <row r="243" spans="1:12" x14ac:dyDescent="0.2">
      <c r="A243" s="16" t="s">
        <v>42</v>
      </c>
      <c r="B243" s="17"/>
      <c r="C243" s="19" t="s">
        <v>43</v>
      </c>
      <c r="D243" s="19" t="s">
        <v>44</v>
      </c>
      <c r="E243" s="19" t="s">
        <v>45</v>
      </c>
      <c r="F243" s="19" t="s">
        <v>46</v>
      </c>
      <c r="G243" s="19" t="s">
        <v>47</v>
      </c>
      <c r="H243" s="19" t="s">
        <v>48</v>
      </c>
      <c r="I243" s="19" t="s">
        <v>49</v>
      </c>
      <c r="J243" s="19" t="s">
        <v>50</v>
      </c>
      <c r="K243" s="19" t="s">
        <v>51</v>
      </c>
      <c r="L243" s="19" t="s">
        <v>52</v>
      </c>
    </row>
    <row r="244" spans="1:12" x14ac:dyDescent="0.2">
      <c r="A244" s="17" t="s">
        <v>215</v>
      </c>
      <c r="B244" s="17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x14ac:dyDescent="0.2">
      <c r="A245" s="17" t="s">
        <v>216</v>
      </c>
      <c r="B245" s="17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x14ac:dyDescent="0.2">
      <c r="A246" s="17" t="s">
        <v>217</v>
      </c>
      <c r="B246" s="17"/>
      <c r="C246" s="16">
        <v>1</v>
      </c>
      <c r="D246" s="16">
        <v>1</v>
      </c>
      <c r="E246" s="16">
        <v>1</v>
      </c>
      <c r="F246" s="16">
        <v>1</v>
      </c>
      <c r="G246" s="16">
        <v>1</v>
      </c>
      <c r="H246" s="16">
        <v>1</v>
      </c>
      <c r="I246" s="16">
        <v>1</v>
      </c>
      <c r="J246" s="16">
        <v>1</v>
      </c>
      <c r="K246" s="16">
        <v>1</v>
      </c>
      <c r="L246" s="16">
        <v>1</v>
      </c>
    </row>
    <row r="247" spans="1:12" x14ac:dyDescent="0.2">
      <c r="A247" s="17" t="s">
        <v>218</v>
      </c>
      <c r="B247" s="17"/>
      <c r="C247" s="16">
        <v>9729</v>
      </c>
      <c r="D247" s="16">
        <v>9236</v>
      </c>
      <c r="E247" s="16">
        <v>8290</v>
      </c>
      <c r="F247" s="16">
        <v>7243</v>
      </c>
      <c r="G247" s="16">
        <v>7118</v>
      </c>
      <c r="H247" s="16">
        <v>7103</v>
      </c>
      <c r="I247" s="16">
        <v>6751</v>
      </c>
      <c r="J247" s="16">
        <v>7326</v>
      </c>
      <c r="K247" s="16">
        <v>8200</v>
      </c>
      <c r="L247" s="16">
        <v>7900</v>
      </c>
    </row>
    <row r="248" spans="1:12" x14ac:dyDescent="0.2">
      <c r="A248" s="17" t="s">
        <v>219</v>
      </c>
      <c r="B248" s="17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1:12" x14ac:dyDescent="0.2">
      <c r="A249" s="17" t="s">
        <v>220</v>
      </c>
      <c r="B249" s="17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 x14ac:dyDescent="0.2">
      <c r="A250" s="17" t="s">
        <v>221</v>
      </c>
      <c r="B250" s="17"/>
      <c r="C250" s="16">
        <v>2375</v>
      </c>
      <c r="D250" s="16">
        <v>2372</v>
      </c>
      <c r="E250" s="16">
        <v>2600</v>
      </c>
      <c r="F250" s="16">
        <v>2900</v>
      </c>
      <c r="G250" s="16">
        <v>3000</v>
      </c>
      <c r="H250" s="16">
        <v>3200</v>
      </c>
      <c r="I250" s="16">
        <v>3300</v>
      </c>
      <c r="J250" s="16">
        <v>4000</v>
      </c>
      <c r="K250" s="16">
        <v>4000</v>
      </c>
      <c r="L250" s="16">
        <v>5000</v>
      </c>
    </row>
    <row r="251" spans="1:12" x14ac:dyDescent="0.2">
      <c r="A251" s="17" t="s">
        <v>222</v>
      </c>
      <c r="B251" s="17"/>
      <c r="C251" s="16">
        <v>2179600294</v>
      </c>
      <c r="D251" s="16">
        <v>2042296433</v>
      </c>
      <c r="E251" s="16">
        <v>2216889882</v>
      </c>
      <c r="F251" s="16">
        <v>3026701899</v>
      </c>
      <c r="G251" s="16">
        <v>1823408337</v>
      </c>
      <c r="H251" s="16">
        <v>2358617028</v>
      </c>
      <c r="I251" s="16">
        <v>1896840674</v>
      </c>
      <c r="J251" s="16">
        <v>2021901898</v>
      </c>
      <c r="K251" s="16">
        <v>1949303637</v>
      </c>
      <c r="L251" s="16"/>
    </row>
    <row r="252" spans="1:12" x14ac:dyDescent="0.2">
      <c r="A252" s="17" t="s">
        <v>223</v>
      </c>
      <c r="B252" s="17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 x14ac:dyDescent="0.2">
      <c r="A253" s="17" t="s">
        <v>224</v>
      </c>
      <c r="B253" s="17"/>
      <c r="C253" s="16">
        <v>1137</v>
      </c>
      <c r="D253" s="16">
        <v>1111</v>
      </c>
      <c r="E253" s="16">
        <v>1077</v>
      </c>
      <c r="F253" s="16">
        <v>1038</v>
      </c>
      <c r="G253" s="16">
        <v>1006</v>
      </c>
      <c r="H253" s="16">
        <v>967</v>
      </c>
      <c r="I253" s="16">
        <v>928</v>
      </c>
      <c r="J253" s="16">
        <v>897</v>
      </c>
      <c r="K253" s="16">
        <v>870</v>
      </c>
      <c r="L253" s="16">
        <v>843</v>
      </c>
    </row>
    <row r="254" spans="1:12" x14ac:dyDescent="0.2">
      <c r="A254" s="17" t="s">
        <v>225</v>
      </c>
      <c r="B254" s="17"/>
      <c r="C254" s="16">
        <v>3798</v>
      </c>
      <c r="D254" s="16">
        <v>2356</v>
      </c>
      <c r="E254" s="16">
        <v>2094</v>
      </c>
      <c r="F254" s="16">
        <v>1323</v>
      </c>
      <c r="G254" s="16">
        <v>1111</v>
      </c>
      <c r="H254" s="16">
        <v>2621</v>
      </c>
      <c r="I254" s="16">
        <v>2009</v>
      </c>
      <c r="J254" s="16">
        <v>2830</v>
      </c>
      <c r="K254" s="16">
        <v>2470</v>
      </c>
      <c r="L254" s="16">
        <v>2298</v>
      </c>
    </row>
    <row r="255" spans="1:12" x14ac:dyDescent="0.2">
      <c r="A255" s="17" t="s">
        <v>226</v>
      </c>
      <c r="B255" s="17"/>
      <c r="C255" s="16">
        <v>2379</v>
      </c>
      <c r="D255" s="16">
        <v>2123</v>
      </c>
      <c r="E255" s="16">
        <v>1330</v>
      </c>
      <c r="F255" s="16">
        <v>2357</v>
      </c>
      <c r="G255" s="16">
        <v>2010</v>
      </c>
      <c r="H255" s="16">
        <v>2034</v>
      </c>
      <c r="I255" s="16">
        <v>2840</v>
      </c>
      <c r="J255" s="16">
        <v>2425</v>
      </c>
      <c r="K255" s="16">
        <v>2537</v>
      </c>
      <c r="L255" s="16">
        <v>1879</v>
      </c>
    </row>
    <row r="256" spans="1:12" x14ac:dyDescent="0.2">
      <c r="A256" s="17" t="s">
        <v>227</v>
      </c>
      <c r="B256" s="17"/>
      <c r="C256" s="16">
        <v>1085</v>
      </c>
      <c r="D256" s="16">
        <v>1605</v>
      </c>
      <c r="E256" s="16">
        <v>2355</v>
      </c>
      <c r="F256" s="16">
        <v>2099</v>
      </c>
      <c r="G256" s="16">
        <v>1411</v>
      </c>
      <c r="H256" s="16">
        <v>2839</v>
      </c>
      <c r="I256" s="16">
        <v>2465</v>
      </c>
      <c r="J256" s="16">
        <v>2481</v>
      </c>
      <c r="K256" s="16">
        <v>2136</v>
      </c>
      <c r="L256" s="16">
        <v>2713</v>
      </c>
    </row>
    <row r="257" spans="1:12" x14ac:dyDescent="0.2">
      <c r="A257" s="17" t="s">
        <v>228</v>
      </c>
      <c r="B257" s="17"/>
      <c r="C257" s="16">
        <v>1531</v>
      </c>
      <c r="D257" s="16">
        <v>2357</v>
      </c>
      <c r="E257" s="16">
        <v>1929</v>
      </c>
      <c r="F257" s="16">
        <v>1387</v>
      </c>
      <c r="G257" s="16">
        <v>2890</v>
      </c>
      <c r="H257" s="16">
        <v>2498</v>
      </c>
      <c r="I257" s="16">
        <v>2461</v>
      </c>
      <c r="J257" s="16">
        <v>2743</v>
      </c>
      <c r="K257" s="16">
        <v>2721</v>
      </c>
      <c r="L257" s="16">
        <v>3686</v>
      </c>
    </row>
    <row r="258" spans="1:12" x14ac:dyDescent="0.2">
      <c r="A258" s="17" t="s">
        <v>229</v>
      </c>
      <c r="B258" s="17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1:12" x14ac:dyDescent="0.2">
      <c r="A259" s="17" t="s">
        <v>230</v>
      </c>
      <c r="B259" s="17"/>
      <c r="C259" s="16">
        <v>31</v>
      </c>
      <c r="D259" s="16">
        <v>83</v>
      </c>
      <c r="E259" s="16">
        <v>52</v>
      </c>
      <c r="F259" s="16">
        <v>45</v>
      </c>
      <c r="G259" s="16">
        <v>51</v>
      </c>
      <c r="H259" s="16">
        <v>107</v>
      </c>
      <c r="I259" s="16">
        <v>33</v>
      </c>
      <c r="J259" s="16">
        <v>0</v>
      </c>
      <c r="K259" s="16">
        <v>0</v>
      </c>
      <c r="L259" s="16">
        <v>0</v>
      </c>
    </row>
    <row r="260" spans="1:12" x14ac:dyDescent="0.2">
      <c r="A260" s="17" t="s">
        <v>231</v>
      </c>
      <c r="B260" s="17"/>
      <c r="C260" s="16">
        <v>0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</row>
    <row r="261" spans="1:12" x14ac:dyDescent="0.2">
      <c r="A261" s="17" t="s">
        <v>232</v>
      </c>
      <c r="B261" s="17"/>
      <c r="C261" s="16">
        <v>2.2875000000000001</v>
      </c>
      <c r="D261" s="16">
        <v>2.4481000000000002</v>
      </c>
      <c r="E261" s="16">
        <v>2.5937000000000001</v>
      </c>
      <c r="F261" s="16">
        <v>2.6581999999999999</v>
      </c>
      <c r="G261" s="16">
        <v>2.6981000000000002</v>
      </c>
      <c r="H261" s="16">
        <v>2.786</v>
      </c>
      <c r="I261" s="16">
        <v>2.8975</v>
      </c>
      <c r="J261" s="16">
        <v>3.0284</v>
      </c>
      <c r="K261" s="16">
        <v>3.2418999999999998</v>
      </c>
      <c r="L261" s="16">
        <v>3.5226999999999999</v>
      </c>
    </row>
    <row r="262" spans="1:12" x14ac:dyDescent="0.2">
      <c r="A262" s="17" t="s">
        <v>233</v>
      </c>
      <c r="B262" s="17"/>
      <c r="C262" s="16">
        <v>6275</v>
      </c>
      <c r="D262" s="16">
        <v>6658</v>
      </c>
      <c r="E262" s="16">
        <v>7028</v>
      </c>
      <c r="F262" s="16">
        <v>7181</v>
      </c>
      <c r="G262" s="16">
        <v>6989</v>
      </c>
      <c r="H262" s="16">
        <v>7057</v>
      </c>
      <c r="I262" s="16">
        <v>7256</v>
      </c>
      <c r="J262" s="16">
        <v>7551</v>
      </c>
      <c r="K262" s="16">
        <v>8020</v>
      </c>
      <c r="L262" s="16">
        <v>8514</v>
      </c>
    </row>
    <row r="263" spans="1:12" x14ac:dyDescent="0.2">
      <c r="A263" s="17" t="s">
        <v>234</v>
      </c>
      <c r="B263" s="17"/>
      <c r="C263" s="16">
        <v>244</v>
      </c>
      <c r="D263" s="16">
        <v>253</v>
      </c>
      <c r="E263" s="16">
        <v>259</v>
      </c>
      <c r="F263" s="16">
        <v>255</v>
      </c>
      <c r="G263" s="16">
        <v>247</v>
      </c>
      <c r="H263" s="16">
        <v>265</v>
      </c>
      <c r="I263" s="16">
        <v>263</v>
      </c>
      <c r="J263" s="16">
        <v>263</v>
      </c>
      <c r="K263" s="16">
        <v>271</v>
      </c>
      <c r="L263" s="16">
        <v>281</v>
      </c>
    </row>
    <row r="264" spans="1:12" x14ac:dyDescent="0.2">
      <c r="A264" s="17" t="s">
        <v>235</v>
      </c>
      <c r="B264" s="17"/>
      <c r="C264" s="16">
        <v>121</v>
      </c>
      <c r="D264" s="16">
        <v>118</v>
      </c>
      <c r="E264" s="16">
        <v>110</v>
      </c>
      <c r="F264" s="16">
        <v>105</v>
      </c>
      <c r="G264" s="16">
        <v>95</v>
      </c>
      <c r="H264" s="16">
        <v>92</v>
      </c>
      <c r="I264" s="16">
        <v>97</v>
      </c>
      <c r="J264" s="16">
        <v>99</v>
      </c>
      <c r="K264" s="16">
        <v>101</v>
      </c>
      <c r="L264" s="16">
        <v>106</v>
      </c>
    </row>
    <row r="265" spans="1:12" x14ac:dyDescent="0.2">
      <c r="A265" s="17" t="s">
        <v>236</v>
      </c>
      <c r="B265" s="17"/>
      <c r="C265" s="16">
        <v>139263</v>
      </c>
      <c r="D265" s="16">
        <v>144266</v>
      </c>
      <c r="E265" s="16">
        <v>129495</v>
      </c>
      <c r="F265" s="16">
        <v>127136</v>
      </c>
      <c r="G265" s="16">
        <v>120406</v>
      </c>
      <c r="H265" s="16">
        <v>118310</v>
      </c>
      <c r="I265" s="16">
        <v>115095</v>
      </c>
      <c r="J265" s="16">
        <v>120700</v>
      </c>
      <c r="K265" s="16">
        <v>119307</v>
      </c>
      <c r="L265" s="16">
        <v>117208</v>
      </c>
    </row>
    <row r="266" spans="1:12" x14ac:dyDescent="0.2">
      <c r="A266" s="17" t="s">
        <v>237</v>
      </c>
      <c r="B266" s="17"/>
      <c r="C266" s="16">
        <v>353</v>
      </c>
      <c r="D266" s="16">
        <v>1397</v>
      </c>
      <c r="E266" s="16">
        <v>-5823</v>
      </c>
      <c r="F266" s="16">
        <v>-7502</v>
      </c>
      <c r="G266" s="16">
        <v>-7263</v>
      </c>
      <c r="H266" s="16">
        <v>-7272</v>
      </c>
      <c r="I266" s="16">
        <v>-10749</v>
      </c>
      <c r="J266" s="16">
        <v>-11814</v>
      </c>
      <c r="K266" s="16">
        <v>-10796</v>
      </c>
      <c r="L266" s="16">
        <v>-12236</v>
      </c>
    </row>
    <row r="267" spans="1:12" x14ac:dyDescent="0.2">
      <c r="A267" s="17" t="s">
        <v>238</v>
      </c>
      <c r="B267" s="17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1:12" x14ac:dyDescent="0.2">
      <c r="A268" s="17" t="s">
        <v>239</v>
      </c>
      <c r="B268" s="17"/>
      <c r="C268" s="16">
        <v>87</v>
      </c>
      <c r="D268" s="16">
        <v>80</v>
      </c>
      <c r="E268" s="16">
        <v>67</v>
      </c>
      <c r="F268" s="16">
        <v>55</v>
      </c>
      <c r="G268" s="16">
        <v>56</v>
      </c>
      <c r="H268" s="16">
        <v>54</v>
      </c>
      <c r="I268" s="16"/>
      <c r="J268" s="16">
        <v>0</v>
      </c>
      <c r="K268" s="16">
        <v>0</v>
      </c>
      <c r="L268" s="16">
        <v>0</v>
      </c>
    </row>
    <row r="269" spans="1:12" x14ac:dyDescent="0.2">
      <c r="A269" s="17" t="s">
        <v>240</v>
      </c>
      <c r="B269" s="17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x14ac:dyDescent="0.2">
      <c r="A270" s="17" t="s">
        <v>241</v>
      </c>
      <c r="B270" s="17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 x14ac:dyDescent="0.2">
      <c r="A271" s="17" t="s">
        <v>242</v>
      </c>
      <c r="B271" s="17"/>
      <c r="C271" s="16">
        <v>0</v>
      </c>
      <c r="D271" s="16">
        <v>0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</row>
    <row r="272" spans="1:12" x14ac:dyDescent="0.2">
      <c r="A272" s="17" t="s">
        <v>243</v>
      </c>
      <c r="B272" s="17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x14ac:dyDescent="0.2">
      <c r="A273" s="17" t="s">
        <v>244</v>
      </c>
      <c r="B273" s="17"/>
      <c r="C273" s="16"/>
      <c r="D273" s="16"/>
      <c r="E273" s="16"/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</row>
    <row r="274" spans="1:12" x14ac:dyDescent="0.2">
      <c r="A274" s="17" t="s">
        <v>245</v>
      </c>
      <c r="B274" s="17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1:12" x14ac:dyDescent="0.2">
      <c r="A275" s="17" t="s">
        <v>246</v>
      </c>
      <c r="B275" s="17"/>
      <c r="C275" s="16">
        <v>0</v>
      </c>
      <c r="D275" s="16">
        <v>0</v>
      </c>
      <c r="E275" s="16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</row>
    <row r="276" spans="1:12" x14ac:dyDescent="0.2">
      <c r="A276" s="17" t="s">
        <v>247</v>
      </c>
      <c r="B276" s="17"/>
      <c r="C276" s="16">
        <v>1137</v>
      </c>
      <c r="D276" s="16">
        <v>1111</v>
      </c>
      <c r="E276" s="16">
        <v>1077</v>
      </c>
      <c r="F276" s="16">
        <v>1038</v>
      </c>
      <c r="G276" s="16">
        <v>1006</v>
      </c>
      <c r="H276" s="16">
        <v>967</v>
      </c>
      <c r="I276" s="16">
        <v>928</v>
      </c>
      <c r="J276" s="16">
        <v>897</v>
      </c>
      <c r="K276" s="16">
        <v>870</v>
      </c>
      <c r="L276" s="16">
        <v>843</v>
      </c>
    </row>
    <row r="277" spans="1:12" x14ac:dyDescent="0.2">
      <c r="A277" s="17" t="s">
        <v>248</v>
      </c>
      <c r="B277" s="17"/>
      <c r="C277" s="16">
        <v>1137</v>
      </c>
      <c r="D277" s="16">
        <v>1111</v>
      </c>
      <c r="E277" s="16">
        <v>1077</v>
      </c>
      <c r="F277" s="16">
        <v>1038</v>
      </c>
      <c r="G277" s="16">
        <v>1006</v>
      </c>
      <c r="H277" s="16">
        <v>967</v>
      </c>
      <c r="I277" s="16">
        <v>928</v>
      </c>
      <c r="J277" s="16">
        <v>897</v>
      </c>
      <c r="K277" s="16">
        <v>870</v>
      </c>
      <c r="L277" s="16">
        <v>843</v>
      </c>
    </row>
    <row r="278" spans="1:12" x14ac:dyDescent="0.2">
      <c r="A278" s="17" t="s">
        <v>249</v>
      </c>
      <c r="B278" s="17"/>
      <c r="C278" s="16"/>
      <c r="D278" s="16"/>
      <c r="E278" s="16"/>
      <c r="F278" s="16"/>
      <c r="G278" s="16"/>
      <c r="H278" s="16"/>
      <c r="I278" s="16"/>
      <c r="J278" s="16">
        <v>850</v>
      </c>
      <c r="K278" s="16">
        <v>808</v>
      </c>
      <c r="L278" s="16">
        <v>760</v>
      </c>
    </row>
    <row r="279" spans="1:12" x14ac:dyDescent="0.2">
      <c r="A279" s="17" t="s">
        <v>250</v>
      </c>
      <c r="B279" s="17"/>
      <c r="C279" s="16">
        <v>81.41</v>
      </c>
      <c r="D279" s="16">
        <v>91.09</v>
      </c>
      <c r="E279" s="16">
        <v>79.41</v>
      </c>
      <c r="F279" s="16">
        <v>84.08</v>
      </c>
      <c r="G279" s="16">
        <v>91.88</v>
      </c>
      <c r="H279" s="16">
        <v>91.92</v>
      </c>
      <c r="I279" s="16">
        <v>124.9</v>
      </c>
      <c r="J279" s="16">
        <v>139.13999999999999</v>
      </c>
      <c r="K279" s="16">
        <v>163.58000000000001</v>
      </c>
      <c r="L279" s="16"/>
    </row>
    <row r="280" spans="1:12" x14ac:dyDescent="0.2">
      <c r="A280" s="17" t="s">
        <v>251</v>
      </c>
      <c r="B280" s="17"/>
      <c r="C280" s="16">
        <v>85.82</v>
      </c>
      <c r="D280" s="16">
        <v>93.89</v>
      </c>
      <c r="E280" s="16">
        <v>91.79</v>
      </c>
      <c r="F280" s="16">
        <v>90.33</v>
      </c>
      <c r="G280" s="16">
        <v>94.67</v>
      </c>
      <c r="H280" s="16">
        <v>96.894999999999996</v>
      </c>
      <c r="I280" s="16">
        <v>126.6</v>
      </c>
      <c r="J280" s="16">
        <v>146.91999999999999</v>
      </c>
      <c r="K280" s="16">
        <v>164.98</v>
      </c>
      <c r="L280" s="16"/>
    </row>
    <row r="281" spans="1:12" x14ac:dyDescent="0.2">
      <c r="A281" s="17" t="s">
        <v>252</v>
      </c>
      <c r="B281" s="17"/>
      <c r="C281" s="16">
        <v>68.349999999999994</v>
      </c>
      <c r="D281" s="16">
        <v>75.260000000000005</v>
      </c>
      <c r="E281" s="16">
        <v>65.02</v>
      </c>
      <c r="F281" s="16">
        <v>74.459999999999994</v>
      </c>
      <c r="G281" s="16">
        <v>83.24</v>
      </c>
      <c r="H281" s="16">
        <v>70.73</v>
      </c>
      <c r="I281" s="16">
        <v>89.08</v>
      </c>
      <c r="J281" s="16">
        <v>94.34</v>
      </c>
      <c r="K281" s="16">
        <v>121.54</v>
      </c>
      <c r="L281" s="16"/>
    </row>
    <row r="282" spans="1:12" x14ac:dyDescent="0.2">
      <c r="A282" s="17" t="s">
        <v>253</v>
      </c>
      <c r="B282" s="17"/>
      <c r="C282" s="16">
        <v>76.989999999999995</v>
      </c>
      <c r="D282" s="16">
        <v>78.59</v>
      </c>
      <c r="E282" s="16">
        <v>78.239999999999995</v>
      </c>
      <c r="F282" s="16">
        <v>84.67</v>
      </c>
      <c r="G282" s="16">
        <v>87.15</v>
      </c>
      <c r="H282" s="16">
        <v>78.06</v>
      </c>
      <c r="I282" s="16">
        <v>109.65</v>
      </c>
      <c r="J282" s="16">
        <v>119.57</v>
      </c>
      <c r="K282" s="16">
        <v>134.93</v>
      </c>
      <c r="L282" s="16">
        <v>143.79</v>
      </c>
    </row>
    <row r="283" spans="1:12" x14ac:dyDescent="0.2">
      <c r="A283" s="17" t="s">
        <v>254</v>
      </c>
      <c r="B283" s="17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1:12" x14ac:dyDescent="0.2">
      <c r="A284" s="17" t="s">
        <v>255</v>
      </c>
      <c r="B284" s="17"/>
      <c r="C284" s="16">
        <v>254</v>
      </c>
      <c r="D284" s="16">
        <v>288</v>
      </c>
      <c r="E284" s="16">
        <v>249</v>
      </c>
      <c r="F284" s="16">
        <v>237</v>
      </c>
      <c r="G284" s="16">
        <v>261</v>
      </c>
      <c r="H284" s="16">
        <v>275</v>
      </c>
      <c r="I284" s="16">
        <v>255</v>
      </c>
      <c r="J284" s="16">
        <v>239</v>
      </c>
      <c r="K284" s="16">
        <v>219</v>
      </c>
      <c r="L284" s="16">
        <v>206</v>
      </c>
    </row>
    <row r="285" spans="1:12" x14ac:dyDescent="0.2">
      <c r="A285" s="17" t="s">
        <v>256</v>
      </c>
      <c r="B285" s="17"/>
      <c r="C285" s="16">
        <v>241</v>
      </c>
      <c r="D285" s="16">
        <v>273</v>
      </c>
      <c r="E285" s="16">
        <v>225</v>
      </c>
      <c r="F285" s="16">
        <v>240</v>
      </c>
      <c r="G285" s="16">
        <v>273</v>
      </c>
      <c r="H285" s="16">
        <v>240</v>
      </c>
      <c r="I285" s="16">
        <v>213</v>
      </c>
      <c r="J285" s="16">
        <v>191</v>
      </c>
      <c r="K285" s="16">
        <v>192</v>
      </c>
      <c r="L285" s="16">
        <v>179</v>
      </c>
    </row>
    <row r="286" spans="1:12" x14ac:dyDescent="0.2">
      <c r="A286" s="17" t="s">
        <v>257</v>
      </c>
      <c r="B286" s="17"/>
      <c r="C286" s="16">
        <v>196</v>
      </c>
      <c r="D286" s="16">
        <v>236</v>
      </c>
      <c r="E286" s="16">
        <v>210</v>
      </c>
      <c r="F286" s="16">
        <v>224</v>
      </c>
      <c r="G286" s="16">
        <v>237</v>
      </c>
      <c r="H286" s="16">
        <v>202</v>
      </c>
      <c r="I286" s="16">
        <v>162</v>
      </c>
      <c r="J286" s="16">
        <v>161</v>
      </c>
      <c r="K286" s="16">
        <v>157</v>
      </c>
      <c r="L286" s="16">
        <v>135</v>
      </c>
    </row>
    <row r="287" spans="1:12" x14ac:dyDescent="0.2">
      <c r="A287" s="17" t="s">
        <v>258</v>
      </c>
      <c r="B287" s="17"/>
      <c r="C287" s="16">
        <v>161</v>
      </c>
      <c r="D287" s="16">
        <v>216</v>
      </c>
      <c r="E287" s="16">
        <v>194</v>
      </c>
      <c r="F287" s="16">
        <v>206</v>
      </c>
      <c r="G287" s="16">
        <v>194</v>
      </c>
      <c r="H287" s="16">
        <v>172</v>
      </c>
      <c r="I287" s="16">
        <v>166</v>
      </c>
      <c r="J287" s="16">
        <v>134</v>
      </c>
      <c r="K287" s="16">
        <v>106</v>
      </c>
      <c r="L287" s="16">
        <v>92</v>
      </c>
    </row>
    <row r="288" spans="1:12" x14ac:dyDescent="0.2">
      <c r="A288" s="17" t="s">
        <v>259</v>
      </c>
      <c r="B288" s="17"/>
      <c r="C288" s="16">
        <v>141</v>
      </c>
      <c r="D288" s="16">
        <v>188</v>
      </c>
      <c r="E288" s="16">
        <v>177</v>
      </c>
      <c r="F288" s="16">
        <v>154</v>
      </c>
      <c r="G288" s="16">
        <v>160</v>
      </c>
      <c r="H288" s="16">
        <v>153</v>
      </c>
      <c r="I288" s="16">
        <v>134</v>
      </c>
      <c r="J288" s="16">
        <v>86</v>
      </c>
      <c r="K288" s="16">
        <v>69</v>
      </c>
      <c r="L288" s="16">
        <v>64</v>
      </c>
    </row>
    <row r="289" spans="1:12" x14ac:dyDescent="0.2">
      <c r="A289" s="17" t="s">
        <v>260</v>
      </c>
      <c r="B289" s="17"/>
      <c r="C289" s="16"/>
      <c r="D289" s="16"/>
      <c r="E289" s="16"/>
      <c r="F289" s="16"/>
      <c r="G289" s="16"/>
      <c r="H289" s="16"/>
      <c r="I289" s="16"/>
      <c r="J289" s="16">
        <v>347</v>
      </c>
      <c r="K289" s="16">
        <v>320</v>
      </c>
      <c r="L289" s="16">
        <v>309</v>
      </c>
    </row>
    <row r="290" spans="1:12" x14ac:dyDescent="0.2">
      <c r="A290" s="17" t="s">
        <v>261</v>
      </c>
      <c r="B290" s="17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1:12" x14ac:dyDescent="0.2">
      <c r="A291" s="17" t="s">
        <v>262</v>
      </c>
      <c r="B291" s="17"/>
      <c r="C291" s="16">
        <v>2023</v>
      </c>
      <c r="D291" s="16">
        <v>2023</v>
      </c>
      <c r="E291" s="16">
        <v>2047</v>
      </c>
      <c r="F291" s="16">
        <v>1879</v>
      </c>
      <c r="G291" s="16">
        <v>1874</v>
      </c>
      <c r="H291" s="16">
        <v>1908</v>
      </c>
      <c r="I291" s="16">
        <v>1861</v>
      </c>
      <c r="J291" s="16">
        <v>1834</v>
      </c>
      <c r="K291" s="16">
        <v>1900</v>
      </c>
      <c r="L291" s="16">
        <v>2000</v>
      </c>
    </row>
    <row r="292" spans="1:12" x14ac:dyDescent="0.2">
      <c r="A292" s="17" t="s">
        <v>263</v>
      </c>
      <c r="B292" s="17"/>
      <c r="C292" s="16">
        <v>3100</v>
      </c>
      <c r="D292" s="16">
        <v>3600</v>
      </c>
      <c r="E292" s="16">
        <v>3100</v>
      </c>
      <c r="F292" s="16">
        <v>3200</v>
      </c>
      <c r="G292" s="16">
        <v>3300</v>
      </c>
      <c r="H292" s="16">
        <v>3500</v>
      </c>
      <c r="I292" s="16">
        <v>3500</v>
      </c>
      <c r="J292" s="16">
        <v>2900</v>
      </c>
      <c r="K292" s="16">
        <v>3000</v>
      </c>
      <c r="L292" s="16">
        <v>2500</v>
      </c>
    </row>
    <row r="293" spans="1:12" x14ac:dyDescent="0.2">
      <c r="A293" s="17" t="s">
        <v>264</v>
      </c>
      <c r="B293" s="17"/>
      <c r="C293" s="16">
        <v>71966</v>
      </c>
      <c r="D293" s="16">
        <v>75805</v>
      </c>
      <c r="E293" s="16">
        <v>77226</v>
      </c>
      <c r="F293" s="16">
        <v>82176</v>
      </c>
      <c r="G293" s="16">
        <v>93715</v>
      </c>
      <c r="H293" s="16">
        <v>99217</v>
      </c>
      <c r="I293" s="16">
        <v>100406</v>
      </c>
      <c r="J293" s="16">
        <v>105573</v>
      </c>
      <c r="K293" s="16">
        <v>114973</v>
      </c>
      <c r="L293" s="16">
        <v>123382</v>
      </c>
    </row>
    <row r="294" spans="1:12" x14ac:dyDescent="0.2">
      <c r="A294" s="17" t="s">
        <v>265</v>
      </c>
      <c r="B294" s="17"/>
      <c r="C294" s="16">
        <v>0</v>
      </c>
      <c r="D294" s="16">
        <v>0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</row>
    <row r="295" spans="1:12" x14ac:dyDescent="0.2">
      <c r="A295" s="17" t="s">
        <v>266</v>
      </c>
      <c r="B295" s="17"/>
      <c r="C295" s="16">
        <v>1266.873</v>
      </c>
      <c r="D295" s="16">
        <v>1298.394</v>
      </c>
      <c r="E295" s="16">
        <v>1294.6289999999999</v>
      </c>
      <c r="F295" s="16">
        <v>1341.126</v>
      </c>
      <c r="G295" s="16">
        <v>1455.903</v>
      </c>
      <c r="H295" s="16">
        <v>1511.107</v>
      </c>
      <c r="I295" s="16">
        <v>1504.4490000000001</v>
      </c>
      <c r="J295" s="16">
        <v>1529.454</v>
      </c>
      <c r="K295" s="16">
        <v>1579.4939999999999</v>
      </c>
      <c r="L295" s="16">
        <v>1615.3230000000001</v>
      </c>
    </row>
    <row r="298" spans="1:12" ht="25" x14ac:dyDescent="0.2">
      <c r="A298" s="18" t="s">
        <v>267</v>
      </c>
    </row>
    <row r="299" spans="1:12" x14ac:dyDescent="0.2">
      <c r="A299" s="16" t="s">
        <v>31</v>
      </c>
      <c r="B299" s="17"/>
      <c r="C299" s="18" t="s">
        <v>32</v>
      </c>
      <c r="D299" s="18" t="s">
        <v>33</v>
      </c>
      <c r="E299" s="18" t="s">
        <v>34</v>
      </c>
      <c r="F299" s="18" t="s">
        <v>35</v>
      </c>
      <c r="G299" s="18" t="s">
        <v>36</v>
      </c>
      <c r="H299" s="18" t="s">
        <v>37</v>
      </c>
      <c r="I299" s="18" t="s">
        <v>38</v>
      </c>
      <c r="J299" s="18" t="s">
        <v>39</v>
      </c>
      <c r="K299" s="18" t="s">
        <v>40</v>
      </c>
      <c r="L299" s="18" t="s">
        <v>41</v>
      </c>
    </row>
    <row r="300" spans="1:12" x14ac:dyDescent="0.2">
      <c r="A300" s="16" t="s">
        <v>42</v>
      </c>
      <c r="B300" s="17"/>
      <c r="C300" s="19" t="s">
        <v>43</v>
      </c>
      <c r="D300" s="19" t="s">
        <v>44</v>
      </c>
      <c r="E300" s="19" t="s">
        <v>45</v>
      </c>
      <c r="F300" s="19" t="s">
        <v>46</v>
      </c>
      <c r="G300" s="19" t="s">
        <v>47</v>
      </c>
      <c r="H300" s="19" t="s">
        <v>48</v>
      </c>
      <c r="I300" s="19" t="s">
        <v>49</v>
      </c>
      <c r="J300" s="19" t="s">
        <v>50</v>
      </c>
      <c r="K300" s="19" t="s">
        <v>51</v>
      </c>
      <c r="L300" s="19" t="s">
        <v>52</v>
      </c>
    </row>
    <row r="301" spans="1:12" x14ac:dyDescent="0.2">
      <c r="A301" s="17" t="s">
        <v>268</v>
      </c>
      <c r="B301" s="17"/>
      <c r="C301" s="16">
        <v>5947</v>
      </c>
      <c r="D301" s="16">
        <v>10686</v>
      </c>
      <c r="E301" s="16">
        <v>11612</v>
      </c>
      <c r="F301" s="16">
        <v>13348</v>
      </c>
      <c r="G301" s="16">
        <v>15137</v>
      </c>
      <c r="H301" s="16">
        <v>11850</v>
      </c>
      <c r="I301" s="16">
        <v>10287</v>
      </c>
      <c r="J301" s="16">
        <v>16181</v>
      </c>
      <c r="K301" s="16">
        <v>10288</v>
      </c>
      <c r="L301" s="16">
        <v>7214</v>
      </c>
    </row>
    <row r="302" spans="1:12" x14ac:dyDescent="0.2">
      <c r="A302" s="17" t="s">
        <v>177</v>
      </c>
      <c r="B302" s="17"/>
      <c r="C302" s="16">
        <v>6508</v>
      </c>
      <c r="D302" s="16">
        <v>6386</v>
      </c>
      <c r="E302" s="16">
        <v>4861</v>
      </c>
      <c r="F302" s="16">
        <v>4373</v>
      </c>
      <c r="G302" s="16">
        <v>4594</v>
      </c>
      <c r="H302" s="16">
        <v>4686</v>
      </c>
      <c r="I302" s="16">
        <v>4951</v>
      </c>
      <c r="J302" s="16">
        <v>4178</v>
      </c>
      <c r="K302" s="16">
        <v>4725</v>
      </c>
      <c r="L302" s="16">
        <v>5143</v>
      </c>
    </row>
    <row r="303" spans="1:12" x14ac:dyDescent="0.2">
      <c r="A303" s="17" t="s">
        <v>182</v>
      </c>
      <c r="B303" s="17"/>
      <c r="C303" s="16">
        <v>6909</v>
      </c>
      <c r="D303" s="16">
        <v>6759</v>
      </c>
      <c r="E303" s="16">
        <v>5454</v>
      </c>
      <c r="F303" s="16">
        <v>4716</v>
      </c>
      <c r="G303" s="16">
        <v>4624</v>
      </c>
      <c r="H303" s="16">
        <v>4738</v>
      </c>
      <c r="I303" s="16">
        <v>5017</v>
      </c>
      <c r="J303" s="16">
        <v>5498</v>
      </c>
      <c r="K303" s="16">
        <v>5983</v>
      </c>
      <c r="L303" s="16">
        <v>6924</v>
      </c>
    </row>
    <row r="304" spans="1:12" x14ac:dyDescent="0.2">
      <c r="A304" s="17" t="s">
        <v>269</v>
      </c>
      <c r="B304" s="17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 x14ac:dyDescent="0.2">
      <c r="A305" s="17" t="s">
        <v>270</v>
      </c>
      <c r="B305" s="17"/>
      <c r="C305" s="16">
        <v>4626</v>
      </c>
      <c r="D305" s="16">
        <v>7786</v>
      </c>
      <c r="E305" s="16">
        <v>7719</v>
      </c>
      <c r="F305" s="16">
        <v>11345</v>
      </c>
      <c r="G305" s="16">
        <v>2139</v>
      </c>
      <c r="H305" s="16">
        <v>2046</v>
      </c>
      <c r="I305" s="16">
        <v>2218</v>
      </c>
      <c r="J305" s="16">
        <v>2130</v>
      </c>
      <c r="K305" s="16">
        <v>2095</v>
      </c>
      <c r="L305" s="16">
        <v>2372</v>
      </c>
    </row>
    <row r="306" spans="1:12" x14ac:dyDescent="0.2">
      <c r="A306" s="17" t="s">
        <v>59</v>
      </c>
      <c r="B306" s="17"/>
      <c r="C306" s="16">
        <v>23990</v>
      </c>
      <c r="D306" s="16">
        <v>31617</v>
      </c>
      <c r="E306" s="16">
        <v>29646</v>
      </c>
      <c r="F306" s="16">
        <v>33782</v>
      </c>
      <c r="G306" s="16">
        <v>26494</v>
      </c>
      <c r="H306" s="16">
        <v>23320</v>
      </c>
      <c r="I306" s="16">
        <v>22473</v>
      </c>
      <c r="J306" s="16">
        <v>27987</v>
      </c>
      <c r="K306" s="16">
        <v>23091</v>
      </c>
      <c r="L306" s="16">
        <v>21653</v>
      </c>
    </row>
    <row r="307" spans="1:12" x14ac:dyDescent="0.2">
      <c r="A307" s="17" t="s">
        <v>271</v>
      </c>
      <c r="B307" s="17"/>
      <c r="C307" s="16">
        <v>43012</v>
      </c>
      <c r="D307" s="16">
        <v>44427</v>
      </c>
      <c r="E307" s="16">
        <v>41347</v>
      </c>
      <c r="F307" s="16">
        <v>39866</v>
      </c>
      <c r="G307" s="16">
        <v>40148</v>
      </c>
      <c r="H307" s="16">
        <v>41847</v>
      </c>
      <c r="I307" s="16">
        <v>43393</v>
      </c>
      <c r="J307" s="16">
        <v>44621</v>
      </c>
      <c r="K307" s="16">
        <v>47506</v>
      </c>
      <c r="L307" s="16">
        <v>47457</v>
      </c>
    </row>
    <row r="308" spans="1:12" x14ac:dyDescent="0.2">
      <c r="A308" s="17" t="s">
        <v>272</v>
      </c>
      <c r="B308" s="17"/>
      <c r="C308" s="16">
        <v>21346</v>
      </c>
      <c r="D308" s="16">
        <v>22123</v>
      </c>
      <c r="E308" s="16">
        <v>21079</v>
      </c>
      <c r="F308" s="16">
        <v>20481</v>
      </c>
      <c r="G308" s="16">
        <v>20255</v>
      </c>
      <c r="H308" s="16">
        <v>21247</v>
      </c>
      <c r="I308" s="16">
        <v>22122</v>
      </c>
      <c r="J308" s="16">
        <v>23079</v>
      </c>
      <c r="K308" s="16">
        <v>25012</v>
      </c>
      <c r="L308" s="16">
        <v>25502</v>
      </c>
    </row>
    <row r="309" spans="1:12" x14ac:dyDescent="0.2">
      <c r="A309" s="17" t="s">
        <v>62</v>
      </c>
      <c r="B309" s="17"/>
      <c r="C309" s="16">
        <v>21666</v>
      </c>
      <c r="D309" s="16">
        <v>22304</v>
      </c>
      <c r="E309" s="16">
        <v>20268</v>
      </c>
      <c r="F309" s="16">
        <v>19385</v>
      </c>
      <c r="G309" s="16">
        <v>19893</v>
      </c>
      <c r="H309" s="16">
        <v>20600</v>
      </c>
      <c r="I309" s="16">
        <v>21271</v>
      </c>
      <c r="J309" s="16">
        <v>21542</v>
      </c>
      <c r="K309" s="16">
        <v>22494</v>
      </c>
      <c r="L309" s="16">
        <v>21955</v>
      </c>
    </row>
    <row r="310" spans="1:12" x14ac:dyDescent="0.2">
      <c r="A310" s="17" t="s">
        <v>273</v>
      </c>
      <c r="B310" s="17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1:12" x14ac:dyDescent="0.2">
      <c r="A311" s="17" t="s">
        <v>274</v>
      </c>
      <c r="B311" s="17"/>
      <c r="C311" s="16"/>
      <c r="D311" s="16"/>
      <c r="E311" s="16"/>
      <c r="F311" s="16">
        <v>28</v>
      </c>
      <c r="G311" s="16">
        <v>132</v>
      </c>
      <c r="H311" s="16"/>
      <c r="I311" s="16">
        <v>169</v>
      </c>
      <c r="J311" s="16">
        <v>67</v>
      </c>
      <c r="K311" s="16">
        <v>192</v>
      </c>
      <c r="L311" s="16">
        <v>140</v>
      </c>
    </row>
    <row r="312" spans="1:12" x14ac:dyDescent="0.2">
      <c r="A312" s="17" t="s">
        <v>275</v>
      </c>
      <c r="B312" s="17"/>
      <c r="C312" s="16">
        <v>86760</v>
      </c>
      <c r="D312" s="16">
        <v>84547</v>
      </c>
      <c r="E312" s="16">
        <v>74145</v>
      </c>
      <c r="F312" s="16">
        <v>68877</v>
      </c>
      <c r="G312" s="16">
        <v>68886</v>
      </c>
      <c r="H312" s="16">
        <v>69077</v>
      </c>
      <c r="I312" s="16">
        <v>64488</v>
      </c>
      <c r="J312" s="16">
        <v>63693</v>
      </c>
      <c r="K312" s="16">
        <v>64566</v>
      </c>
      <c r="L312" s="16">
        <v>63379</v>
      </c>
    </row>
    <row r="313" spans="1:12" x14ac:dyDescent="0.2">
      <c r="A313" s="17" t="s">
        <v>276</v>
      </c>
      <c r="B313" s="17"/>
      <c r="C313" s="16">
        <v>0</v>
      </c>
      <c r="D313" s="16">
        <v>0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0</v>
      </c>
    </row>
    <row r="314" spans="1:12" x14ac:dyDescent="0.2">
      <c r="A314" s="17" t="s">
        <v>277</v>
      </c>
      <c r="B314" s="17"/>
      <c r="C314" s="16">
        <v>6847</v>
      </c>
      <c r="D314" s="16">
        <v>5798</v>
      </c>
      <c r="E314" s="16">
        <v>5436</v>
      </c>
      <c r="F314" s="16">
        <v>5064</v>
      </c>
      <c r="G314" s="16">
        <v>5001</v>
      </c>
      <c r="H314" s="16">
        <v>5313</v>
      </c>
      <c r="I314" s="16">
        <v>6694</v>
      </c>
      <c r="J314" s="16">
        <v>7411</v>
      </c>
      <c r="K314" s="16">
        <v>8964</v>
      </c>
      <c r="L314" s="16">
        <v>10081</v>
      </c>
    </row>
    <row r="315" spans="1:12" x14ac:dyDescent="0.2">
      <c r="A315" s="17" t="s">
        <v>68</v>
      </c>
      <c r="B315" s="17"/>
      <c r="C315" s="16">
        <v>139263</v>
      </c>
      <c r="D315" s="16">
        <v>144266</v>
      </c>
      <c r="E315" s="16">
        <v>129495</v>
      </c>
      <c r="F315" s="16">
        <v>127136</v>
      </c>
      <c r="G315" s="16">
        <v>120406</v>
      </c>
      <c r="H315" s="16">
        <v>118310</v>
      </c>
      <c r="I315" s="16">
        <v>115095</v>
      </c>
      <c r="J315" s="16">
        <v>120700</v>
      </c>
      <c r="K315" s="16">
        <v>119307</v>
      </c>
      <c r="L315" s="16">
        <v>117208</v>
      </c>
    </row>
    <row r="316" spans="1:12" x14ac:dyDescent="0.2">
      <c r="A316" s="17" t="s">
        <v>278</v>
      </c>
      <c r="B316" s="17"/>
      <c r="C316" s="16">
        <v>8777</v>
      </c>
      <c r="D316" s="16">
        <v>8461</v>
      </c>
      <c r="E316" s="16">
        <v>8257</v>
      </c>
      <c r="F316" s="16">
        <v>9325</v>
      </c>
      <c r="G316" s="16">
        <v>9632</v>
      </c>
      <c r="H316" s="16">
        <v>10344</v>
      </c>
      <c r="I316" s="16">
        <v>11260</v>
      </c>
      <c r="J316" s="16">
        <v>12071</v>
      </c>
      <c r="K316" s="16">
        <v>13720</v>
      </c>
      <c r="L316" s="16">
        <v>14882</v>
      </c>
    </row>
    <row r="317" spans="1:12" x14ac:dyDescent="0.2">
      <c r="A317" s="17" t="s">
        <v>279</v>
      </c>
      <c r="B317" s="17"/>
      <c r="C317" s="16">
        <v>7926</v>
      </c>
      <c r="D317" s="16">
        <v>11299</v>
      </c>
      <c r="E317" s="16">
        <v>9249</v>
      </c>
      <c r="F317" s="16">
        <v>8893</v>
      </c>
      <c r="G317" s="16">
        <v>11878</v>
      </c>
      <c r="H317" s="16">
        <v>8651</v>
      </c>
      <c r="I317" s="16">
        <v>6309</v>
      </c>
      <c r="J317" s="16">
        <v>8675</v>
      </c>
      <c r="K317" s="16">
        <v>5269</v>
      </c>
      <c r="L317" s="16">
        <v>4998</v>
      </c>
    </row>
    <row r="318" spans="1:12" x14ac:dyDescent="0.2">
      <c r="A318" s="17" t="s">
        <v>280</v>
      </c>
      <c r="B318" s="17"/>
      <c r="C318" s="16">
        <v>5161</v>
      </c>
      <c r="D318" s="16">
        <v>5336</v>
      </c>
      <c r="E318" s="16">
        <v>4564</v>
      </c>
      <c r="F318" s="16">
        <v>4435</v>
      </c>
      <c r="G318" s="16">
        <v>4304</v>
      </c>
      <c r="H318" s="16">
        <v>4662</v>
      </c>
      <c r="I318" s="16">
        <v>5922</v>
      </c>
      <c r="J318" s="16">
        <v>5452</v>
      </c>
      <c r="K318" s="16">
        <v>6285</v>
      </c>
      <c r="L318" s="16">
        <v>5675</v>
      </c>
    </row>
    <row r="319" spans="1:12" x14ac:dyDescent="0.2">
      <c r="A319" s="17" t="s">
        <v>281</v>
      </c>
      <c r="B319" s="17"/>
      <c r="C319" s="16">
        <v>817</v>
      </c>
      <c r="D319" s="16">
        <v>711</v>
      </c>
      <c r="E319" s="16">
        <v>845</v>
      </c>
      <c r="F319" s="16">
        <v>397</v>
      </c>
      <c r="G319" s="16">
        <v>449</v>
      </c>
      <c r="H319" s="16">
        <v>268</v>
      </c>
      <c r="I319" s="16">
        <v>341</v>
      </c>
      <c r="J319" s="16">
        <v>693</v>
      </c>
      <c r="K319" s="16">
        <v>637</v>
      </c>
      <c r="L319" s="16">
        <v>587</v>
      </c>
    </row>
    <row r="320" spans="1:12" x14ac:dyDescent="0.2">
      <c r="A320" s="17" t="s">
        <v>282</v>
      </c>
      <c r="B320" s="17"/>
      <c r="C320" s="16">
        <v>4506</v>
      </c>
      <c r="D320" s="16">
        <v>4307</v>
      </c>
      <c r="E320" s="16">
        <v>2772</v>
      </c>
      <c r="F320" s="16">
        <v>2760</v>
      </c>
      <c r="G320" s="16">
        <v>1676</v>
      </c>
      <c r="H320" s="16">
        <v>1772</v>
      </c>
      <c r="I320" s="16">
        <v>3388</v>
      </c>
      <c r="J320" s="16">
        <v>2747</v>
      </c>
      <c r="K320" s="16">
        <v>3839</v>
      </c>
      <c r="L320" s="16">
        <v>3852</v>
      </c>
    </row>
    <row r="321" spans="1:12" x14ac:dyDescent="0.2">
      <c r="A321" s="17" t="s">
        <v>283</v>
      </c>
      <c r="B321" s="17"/>
      <c r="C321" s="16">
        <v>8011</v>
      </c>
      <c r="D321" s="16">
        <v>8948</v>
      </c>
      <c r="E321" s="16">
        <v>8667</v>
      </c>
      <c r="F321" s="16">
        <v>9395</v>
      </c>
      <c r="G321" s="16">
        <v>6575</v>
      </c>
      <c r="H321" s="16">
        <v>7202</v>
      </c>
      <c r="I321" s="16">
        <v>8713</v>
      </c>
      <c r="J321" s="16">
        <v>8790</v>
      </c>
      <c r="K321" s="16">
        <v>9667</v>
      </c>
      <c r="L321" s="16">
        <v>8762</v>
      </c>
    </row>
    <row r="322" spans="1:12" x14ac:dyDescent="0.2">
      <c r="A322" s="17" t="s">
        <v>76</v>
      </c>
      <c r="B322" s="17"/>
      <c r="C322" s="16">
        <v>30037</v>
      </c>
      <c r="D322" s="16">
        <v>33726</v>
      </c>
      <c r="E322" s="16">
        <v>29790</v>
      </c>
      <c r="F322" s="16">
        <v>30770</v>
      </c>
      <c r="G322" s="16">
        <v>30210</v>
      </c>
      <c r="H322" s="16">
        <v>28237</v>
      </c>
      <c r="I322" s="16">
        <v>30011</v>
      </c>
      <c r="J322" s="16">
        <v>32976</v>
      </c>
      <c r="K322" s="16">
        <v>33132</v>
      </c>
      <c r="L322" s="16">
        <v>33081</v>
      </c>
    </row>
    <row r="323" spans="1:12" x14ac:dyDescent="0.2">
      <c r="A323" s="17" t="s">
        <v>284</v>
      </c>
      <c r="B323" s="17"/>
      <c r="C323" s="16">
        <v>19111</v>
      </c>
      <c r="D323" s="16">
        <v>19811</v>
      </c>
      <c r="E323" s="16">
        <v>18329</v>
      </c>
      <c r="F323" s="16">
        <v>18945</v>
      </c>
      <c r="G323" s="16">
        <v>18038</v>
      </c>
      <c r="H323" s="16">
        <v>20863</v>
      </c>
      <c r="I323" s="16">
        <v>20395</v>
      </c>
      <c r="J323" s="16">
        <v>24189</v>
      </c>
      <c r="K323" s="16">
        <v>23730</v>
      </c>
      <c r="L323" s="16">
        <v>23443</v>
      </c>
    </row>
    <row r="324" spans="1:12" x14ac:dyDescent="0.2">
      <c r="A324" s="17" t="s">
        <v>285</v>
      </c>
      <c r="B324" s="17"/>
      <c r="C324" s="16">
        <v>10827</v>
      </c>
      <c r="D324" s="16">
        <v>10218</v>
      </c>
      <c r="E324" s="16">
        <v>9531</v>
      </c>
      <c r="F324" s="16">
        <v>9113</v>
      </c>
      <c r="G324" s="16">
        <v>8126</v>
      </c>
      <c r="H324" s="16">
        <v>6163</v>
      </c>
      <c r="I324" s="16">
        <v>6899</v>
      </c>
      <c r="J324" s="16">
        <v>6199</v>
      </c>
      <c r="K324" s="16">
        <v>6153</v>
      </c>
      <c r="L324" s="16">
        <v>6809</v>
      </c>
    </row>
    <row r="325" spans="1:12" x14ac:dyDescent="0.2">
      <c r="A325" s="17" t="s">
        <v>242</v>
      </c>
      <c r="B325" s="17"/>
      <c r="C325" s="16">
        <v>0</v>
      </c>
      <c r="D325" s="16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</row>
    <row r="326" spans="1:12" x14ac:dyDescent="0.2">
      <c r="A326" s="17" t="s">
        <v>286</v>
      </c>
      <c r="B326" s="17"/>
      <c r="C326" s="16">
        <v>10579</v>
      </c>
      <c r="D326" s="16">
        <v>10535</v>
      </c>
      <c r="E326" s="16">
        <v>8795</v>
      </c>
      <c r="F326" s="16">
        <v>10325</v>
      </c>
      <c r="G326" s="16">
        <v>8254</v>
      </c>
      <c r="H326" s="16">
        <v>10164</v>
      </c>
      <c r="I326" s="16">
        <v>10211</v>
      </c>
      <c r="J326" s="16">
        <v>10458</v>
      </c>
      <c r="K326" s="16">
        <v>9638</v>
      </c>
      <c r="L326" s="16">
        <v>7021</v>
      </c>
    </row>
    <row r="327" spans="1:12" x14ac:dyDescent="0.2">
      <c r="A327" s="17" t="s">
        <v>82</v>
      </c>
      <c r="B327" s="17"/>
      <c r="C327" s="16">
        <v>70554</v>
      </c>
      <c r="D327" s="16">
        <v>74290</v>
      </c>
      <c r="E327" s="16">
        <v>66445</v>
      </c>
      <c r="F327" s="16">
        <v>69153</v>
      </c>
      <c r="G327" s="16">
        <v>64628</v>
      </c>
      <c r="H327" s="16">
        <v>65427</v>
      </c>
      <c r="I327" s="16">
        <v>67516</v>
      </c>
      <c r="J327" s="16">
        <v>73822</v>
      </c>
      <c r="K327" s="16">
        <v>72653</v>
      </c>
      <c r="L327" s="16">
        <v>70354</v>
      </c>
    </row>
    <row r="328" spans="1:12" x14ac:dyDescent="0.2">
      <c r="A328" s="17" t="s">
        <v>287</v>
      </c>
      <c r="B328" s="17"/>
      <c r="C328" s="16">
        <v>0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</row>
    <row r="329" spans="1:12" x14ac:dyDescent="0.2">
      <c r="A329" s="17" t="s">
        <v>210</v>
      </c>
      <c r="B329" s="17"/>
      <c r="C329" s="16">
        <v>-215</v>
      </c>
      <c r="D329" s="16">
        <v>-229</v>
      </c>
      <c r="E329" s="16">
        <v>-243</v>
      </c>
      <c r="F329" s="16">
        <v>-252</v>
      </c>
      <c r="G329" s="16">
        <v>-243</v>
      </c>
      <c r="H329" s="16">
        <v>-237</v>
      </c>
      <c r="I329" s="16">
        <v>-218</v>
      </c>
      <c r="J329" s="16">
        <v>-183</v>
      </c>
      <c r="K329" s="16">
        <v>-136</v>
      </c>
      <c r="L329" s="16">
        <v>-73</v>
      </c>
    </row>
    <row r="330" spans="1:12" x14ac:dyDescent="0.2">
      <c r="A330" s="17" t="s">
        <v>288</v>
      </c>
      <c r="B330" s="17"/>
      <c r="C330" s="16">
        <v>4009</v>
      </c>
      <c r="D330" s="16">
        <v>4009</v>
      </c>
      <c r="E330" s="16">
        <v>4009</v>
      </c>
      <c r="F330" s="16">
        <v>4009</v>
      </c>
      <c r="G330" s="16">
        <v>4009</v>
      </c>
      <c r="H330" s="16">
        <v>4009</v>
      </c>
      <c r="I330" s="16">
        <v>4009</v>
      </c>
      <c r="J330" s="16">
        <v>4009</v>
      </c>
      <c r="K330" s="16">
        <v>4009</v>
      </c>
      <c r="L330" s="16">
        <v>4009</v>
      </c>
    </row>
    <row r="331" spans="1:12" x14ac:dyDescent="0.2">
      <c r="A331" s="17" t="s">
        <v>289</v>
      </c>
      <c r="B331" s="17"/>
      <c r="C331" s="16">
        <v>63538</v>
      </c>
      <c r="D331" s="16">
        <v>63911</v>
      </c>
      <c r="E331" s="16">
        <v>63852</v>
      </c>
      <c r="F331" s="16">
        <v>63714</v>
      </c>
      <c r="G331" s="16">
        <v>63641</v>
      </c>
      <c r="H331" s="16">
        <v>63846</v>
      </c>
      <c r="I331" s="16">
        <v>63827</v>
      </c>
      <c r="J331" s="16">
        <v>64194</v>
      </c>
      <c r="K331" s="16">
        <v>64848</v>
      </c>
      <c r="L331" s="16">
        <v>65795</v>
      </c>
    </row>
    <row r="332" spans="1:12" x14ac:dyDescent="0.2">
      <c r="A332" s="17" t="s">
        <v>290</v>
      </c>
      <c r="B332" s="17"/>
      <c r="C332" s="16">
        <v>72698</v>
      </c>
      <c r="D332" s="16">
        <v>77328</v>
      </c>
      <c r="E332" s="16">
        <v>72027</v>
      </c>
      <c r="F332" s="16">
        <v>72046</v>
      </c>
      <c r="G332" s="16">
        <v>81492</v>
      </c>
      <c r="H332" s="16">
        <v>83892</v>
      </c>
      <c r="I332" s="16">
        <v>79982</v>
      </c>
      <c r="J332" s="16">
        <v>84074</v>
      </c>
      <c r="K332" s="16">
        <v>92630</v>
      </c>
      <c r="L332" s="16">
        <v>100240</v>
      </c>
    </row>
    <row r="333" spans="1:12" x14ac:dyDescent="0.2">
      <c r="A333" s="17" t="s">
        <v>291</v>
      </c>
      <c r="B333" s="17"/>
      <c r="C333" s="16">
        <v>71966</v>
      </c>
      <c r="D333" s="16">
        <v>75805</v>
      </c>
      <c r="E333" s="16">
        <v>77226</v>
      </c>
      <c r="F333" s="16">
        <v>82176</v>
      </c>
      <c r="G333" s="16">
        <v>93715</v>
      </c>
      <c r="H333" s="16">
        <v>99217</v>
      </c>
      <c r="I333" s="16">
        <v>100406</v>
      </c>
      <c r="J333" s="16">
        <v>105573</v>
      </c>
      <c r="K333" s="16">
        <v>114973</v>
      </c>
      <c r="L333" s="16">
        <v>123382</v>
      </c>
    </row>
    <row r="334" spans="1:12" x14ac:dyDescent="0.2">
      <c r="A334" s="17" t="s">
        <v>89</v>
      </c>
      <c r="B334" s="17"/>
      <c r="C334" s="16">
        <v>68064</v>
      </c>
      <c r="D334" s="16">
        <v>69214</v>
      </c>
      <c r="E334" s="16">
        <v>62419</v>
      </c>
      <c r="F334" s="16">
        <v>57341</v>
      </c>
      <c r="G334" s="16">
        <v>55184</v>
      </c>
      <c r="H334" s="16">
        <v>52293</v>
      </c>
      <c r="I334" s="16">
        <v>47194</v>
      </c>
      <c r="J334" s="16">
        <v>46521</v>
      </c>
      <c r="K334" s="16">
        <v>46378</v>
      </c>
      <c r="L334" s="16">
        <v>46589</v>
      </c>
    </row>
    <row r="335" spans="1:12" x14ac:dyDescent="0.2">
      <c r="A335" s="17" t="s">
        <v>90</v>
      </c>
      <c r="B335" s="17"/>
      <c r="C335" s="16">
        <v>645</v>
      </c>
      <c r="D335" s="16">
        <v>762</v>
      </c>
      <c r="E335" s="16">
        <v>631</v>
      </c>
      <c r="F335" s="16">
        <v>642</v>
      </c>
      <c r="G335" s="16">
        <v>594</v>
      </c>
      <c r="H335" s="16">
        <v>590</v>
      </c>
      <c r="I335" s="16">
        <v>385</v>
      </c>
      <c r="J335" s="16">
        <v>357</v>
      </c>
      <c r="K335" s="16">
        <v>276</v>
      </c>
      <c r="L335" s="16">
        <v>265</v>
      </c>
    </row>
    <row r="336" spans="1:12" x14ac:dyDescent="0.2">
      <c r="A336" s="17" t="s">
        <v>91</v>
      </c>
      <c r="B336" s="17"/>
      <c r="C336" s="16">
        <v>68709</v>
      </c>
      <c r="D336" s="16">
        <v>69976</v>
      </c>
      <c r="E336" s="16">
        <v>63050</v>
      </c>
      <c r="F336" s="16">
        <v>57983</v>
      </c>
      <c r="G336" s="16">
        <v>55778</v>
      </c>
      <c r="H336" s="16">
        <v>52883</v>
      </c>
      <c r="I336" s="16">
        <v>47579</v>
      </c>
      <c r="J336" s="16">
        <v>46878</v>
      </c>
      <c r="K336" s="16">
        <v>46654</v>
      </c>
      <c r="L336" s="16">
        <v>46854</v>
      </c>
    </row>
    <row r="337" spans="1:12" x14ac:dyDescent="0.2">
      <c r="A337" s="17" t="s">
        <v>94</v>
      </c>
      <c r="B337" s="17"/>
      <c r="C337" s="16">
        <v>84167</v>
      </c>
      <c r="D337" s="16">
        <v>83062</v>
      </c>
      <c r="E337" s="16">
        <v>76279</v>
      </c>
      <c r="F337" s="16">
        <v>65299</v>
      </c>
      <c r="G337" s="16">
        <v>65058</v>
      </c>
      <c r="H337" s="16">
        <v>66832</v>
      </c>
      <c r="I337" s="16">
        <v>67684</v>
      </c>
      <c r="J337" s="16">
        <v>70950</v>
      </c>
      <c r="K337" s="16">
        <v>76118</v>
      </c>
      <c r="L337" s="16">
        <v>80187</v>
      </c>
    </row>
    <row r="338" spans="1:12" x14ac:dyDescent="0.2">
      <c r="A338" s="17" t="s">
        <v>292</v>
      </c>
      <c r="B338" s="17"/>
      <c r="C338" s="16">
        <v>39090</v>
      </c>
      <c r="D338" s="16">
        <v>38940</v>
      </c>
      <c r="E338" s="16">
        <v>35128</v>
      </c>
      <c r="F338" s="16">
        <v>29113</v>
      </c>
      <c r="G338" s="16">
        <v>29122</v>
      </c>
      <c r="H338" s="16">
        <v>30615</v>
      </c>
      <c r="I338" s="16">
        <v>31423</v>
      </c>
      <c r="J338" s="16">
        <v>31623</v>
      </c>
      <c r="K338" s="16">
        <v>34239</v>
      </c>
      <c r="L338" s="16">
        <v>39350</v>
      </c>
    </row>
    <row r="339" spans="1:12" x14ac:dyDescent="0.2">
      <c r="A339" s="17" t="s">
        <v>96</v>
      </c>
      <c r="B339" s="17"/>
      <c r="C339" s="16">
        <v>45077</v>
      </c>
      <c r="D339" s="16">
        <v>44122</v>
      </c>
      <c r="E339" s="16">
        <v>41151</v>
      </c>
      <c r="F339" s="16">
        <v>36186</v>
      </c>
      <c r="G339" s="16">
        <v>35936</v>
      </c>
      <c r="H339" s="16">
        <v>36217</v>
      </c>
      <c r="I339" s="16">
        <v>36261</v>
      </c>
      <c r="J339" s="16">
        <v>39327</v>
      </c>
      <c r="K339" s="16">
        <v>41879</v>
      </c>
      <c r="L339" s="16">
        <v>40837</v>
      </c>
    </row>
    <row r="340" spans="1:12" x14ac:dyDescent="0.2">
      <c r="A340" s="17" t="s">
        <v>293</v>
      </c>
      <c r="B340" s="17"/>
      <c r="C340" s="16">
        <v>26066</v>
      </c>
      <c r="D340" s="16">
        <v>24689</v>
      </c>
      <c r="E340" s="16">
        <v>23247</v>
      </c>
      <c r="F340" s="16">
        <v>18747</v>
      </c>
      <c r="G340" s="16">
        <v>18431</v>
      </c>
      <c r="H340" s="16">
        <v>18602</v>
      </c>
      <c r="I340" s="16">
        <v>18871</v>
      </c>
      <c r="J340" s="16">
        <v>19839</v>
      </c>
      <c r="K340" s="16">
        <v>20848</v>
      </c>
      <c r="L340" s="16">
        <v>20217</v>
      </c>
    </row>
    <row r="341" spans="1:12" x14ac:dyDescent="0.2">
      <c r="A341" s="17" t="s">
        <v>98</v>
      </c>
      <c r="B341" s="17"/>
      <c r="C341" s="16">
        <v>19011</v>
      </c>
      <c r="D341" s="16">
        <v>19433</v>
      </c>
      <c r="E341" s="16">
        <v>17904</v>
      </c>
      <c r="F341" s="16">
        <v>17439</v>
      </c>
      <c r="G341" s="16">
        <v>17505</v>
      </c>
      <c r="H341" s="16">
        <v>17615</v>
      </c>
      <c r="I341" s="16">
        <v>17390</v>
      </c>
      <c r="J341" s="16">
        <v>19488</v>
      </c>
      <c r="K341" s="16">
        <v>21031</v>
      </c>
      <c r="L341" s="16">
        <v>20620</v>
      </c>
    </row>
    <row r="342" spans="1:12" x14ac:dyDescent="0.2">
      <c r="A342" s="17" t="s">
        <v>294</v>
      </c>
      <c r="B342" s="17"/>
      <c r="C342" s="16">
        <v>2982</v>
      </c>
      <c r="D342" s="16">
        <v>3141</v>
      </c>
      <c r="E342" s="16">
        <v>3134</v>
      </c>
      <c r="F342" s="16">
        <v>3078</v>
      </c>
      <c r="G342" s="16">
        <v>2820</v>
      </c>
      <c r="H342" s="16">
        <v>2834</v>
      </c>
      <c r="I342" s="16">
        <v>2824</v>
      </c>
      <c r="J342" s="16">
        <v>3013</v>
      </c>
      <c r="K342" s="16">
        <v>2735</v>
      </c>
      <c r="L342" s="16">
        <v>2807</v>
      </c>
    </row>
    <row r="343" spans="1:12" x14ac:dyDescent="0.2">
      <c r="A343" s="17" t="s">
        <v>100</v>
      </c>
      <c r="B343" s="17"/>
      <c r="C343" s="16">
        <v>16029</v>
      </c>
      <c r="D343" s="16">
        <v>16292</v>
      </c>
      <c r="E343" s="16">
        <v>14770</v>
      </c>
      <c r="F343" s="16">
        <v>14361</v>
      </c>
      <c r="G343" s="16">
        <v>14685</v>
      </c>
      <c r="H343" s="16">
        <v>14781</v>
      </c>
      <c r="I343" s="16">
        <v>14566</v>
      </c>
      <c r="J343" s="16">
        <v>16475</v>
      </c>
      <c r="K343" s="16">
        <v>18296</v>
      </c>
      <c r="L343" s="16">
        <v>17813</v>
      </c>
    </row>
    <row r="344" spans="1:12" x14ac:dyDescent="0.2">
      <c r="A344" s="17" t="s">
        <v>295</v>
      </c>
      <c r="B344" s="17"/>
      <c r="C344" s="16">
        <v>754</v>
      </c>
      <c r="D344" s="16">
        <v>789</v>
      </c>
      <c r="E344" s="16">
        <v>693</v>
      </c>
      <c r="F344" s="16">
        <v>634</v>
      </c>
      <c r="G344" s="16">
        <v>521</v>
      </c>
      <c r="H344" s="16">
        <v>560</v>
      </c>
      <c r="I344" s="16">
        <v>509</v>
      </c>
      <c r="J344" s="16">
        <v>465</v>
      </c>
      <c r="K344" s="16">
        <v>502</v>
      </c>
      <c r="L344" s="16">
        <v>439</v>
      </c>
    </row>
    <row r="345" spans="1:12" x14ac:dyDescent="0.2">
      <c r="A345" s="17" t="s">
        <v>296</v>
      </c>
      <c r="B345" s="17"/>
      <c r="C345" s="16">
        <v>485</v>
      </c>
      <c r="D345" s="16">
        <v>386</v>
      </c>
      <c r="E345" s="16">
        <v>749</v>
      </c>
      <c r="F345" s="16">
        <v>562</v>
      </c>
      <c r="G345" s="16">
        <v>366</v>
      </c>
      <c r="H345" s="16">
        <v>521</v>
      </c>
      <c r="I345" s="16">
        <v>756</v>
      </c>
      <c r="J345" s="16">
        <v>606</v>
      </c>
      <c r="K345" s="16">
        <v>663</v>
      </c>
      <c r="L345" s="16">
        <v>621</v>
      </c>
    </row>
    <row r="346" spans="1:12" x14ac:dyDescent="0.2">
      <c r="A346" s="17" t="s">
        <v>297</v>
      </c>
      <c r="B346" s="17"/>
      <c r="C346" s="16">
        <v>-917</v>
      </c>
      <c r="D346" s="16">
        <v>-1004</v>
      </c>
      <c r="E346" s="16">
        <v>-2980</v>
      </c>
      <c r="F346" s="16">
        <v>-920</v>
      </c>
      <c r="G346" s="16">
        <v>-1273</v>
      </c>
      <c r="H346" s="16">
        <v>-1416</v>
      </c>
      <c r="I346" s="16">
        <v>-8744</v>
      </c>
      <c r="J346" s="16">
        <v>-782</v>
      </c>
      <c r="K346" s="16">
        <v>-842</v>
      </c>
      <c r="L346" s="16">
        <v>0</v>
      </c>
    </row>
    <row r="347" spans="1:12" x14ac:dyDescent="0.2">
      <c r="A347" s="17" t="s">
        <v>104</v>
      </c>
      <c r="B347" s="17"/>
      <c r="C347" s="16">
        <v>14843</v>
      </c>
      <c r="D347" s="16">
        <v>14885</v>
      </c>
      <c r="E347" s="16">
        <v>11846</v>
      </c>
      <c r="F347" s="16">
        <v>13369</v>
      </c>
      <c r="G347" s="16">
        <v>13257</v>
      </c>
      <c r="H347" s="16">
        <v>13326</v>
      </c>
      <c r="I347" s="16">
        <v>6069</v>
      </c>
      <c r="J347" s="16">
        <v>15834</v>
      </c>
      <c r="K347" s="16">
        <v>17615</v>
      </c>
      <c r="L347" s="16">
        <v>17995</v>
      </c>
    </row>
    <row r="348" spans="1:12" x14ac:dyDescent="0.2">
      <c r="A348" s="17" t="s">
        <v>207</v>
      </c>
      <c r="B348" s="17"/>
      <c r="C348" s="16">
        <v>3441</v>
      </c>
      <c r="D348" s="16">
        <v>3178</v>
      </c>
      <c r="E348" s="16">
        <v>2916</v>
      </c>
      <c r="F348" s="16">
        <v>3342</v>
      </c>
      <c r="G348" s="16">
        <v>3063</v>
      </c>
      <c r="H348" s="16">
        <v>3465</v>
      </c>
      <c r="I348" s="16">
        <v>2103</v>
      </c>
      <c r="J348" s="16">
        <v>2731</v>
      </c>
      <c r="K348" s="16">
        <v>3263</v>
      </c>
      <c r="L348" s="16">
        <v>3202</v>
      </c>
    </row>
    <row r="349" spans="1:12" x14ac:dyDescent="0.2">
      <c r="A349" s="17" t="s">
        <v>298</v>
      </c>
      <c r="B349" s="17"/>
      <c r="C349" s="16">
        <v>90</v>
      </c>
      <c r="D349" s="16">
        <v>142</v>
      </c>
      <c r="E349" s="16">
        <v>100</v>
      </c>
      <c r="F349" s="16">
        <v>96</v>
      </c>
      <c r="G349" s="16">
        <v>85</v>
      </c>
      <c r="H349" s="16">
        <v>111</v>
      </c>
      <c r="I349" s="16">
        <v>69</v>
      </c>
      <c r="J349" s="16">
        <v>76</v>
      </c>
      <c r="K349" s="16">
        <v>46</v>
      </c>
      <c r="L349" s="16">
        <v>51</v>
      </c>
    </row>
    <row r="350" spans="1:12" x14ac:dyDescent="0.2">
      <c r="A350" s="17" t="s">
        <v>299</v>
      </c>
      <c r="B350" s="17"/>
      <c r="C350" s="16">
        <v>11312</v>
      </c>
      <c r="D350" s="16">
        <v>11565</v>
      </c>
      <c r="E350" s="16">
        <v>8830</v>
      </c>
      <c r="F350" s="16">
        <v>9931</v>
      </c>
      <c r="G350" s="16">
        <v>10109</v>
      </c>
      <c r="H350" s="16">
        <v>9750</v>
      </c>
      <c r="I350" s="16">
        <v>3897</v>
      </c>
      <c r="J350" s="16">
        <v>13027</v>
      </c>
      <c r="K350" s="16">
        <v>14306</v>
      </c>
      <c r="L350" s="16">
        <v>14742</v>
      </c>
    </row>
    <row r="351" spans="1:12" x14ac:dyDescent="0.2">
      <c r="A351" s="17" t="s">
        <v>300</v>
      </c>
      <c r="B351" s="17"/>
      <c r="C351" s="16">
        <v>0</v>
      </c>
      <c r="D351" s="16">
        <v>0</v>
      </c>
      <c r="E351" s="16">
        <v>0</v>
      </c>
      <c r="F351" s="16">
        <v>0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6">
        <v>0</v>
      </c>
    </row>
    <row r="352" spans="1:12" x14ac:dyDescent="0.2">
      <c r="A352" s="17" t="s">
        <v>301</v>
      </c>
      <c r="B352" s="17"/>
      <c r="C352" s="16">
        <v>0</v>
      </c>
      <c r="D352" s="16">
        <v>78</v>
      </c>
      <c r="E352" s="16">
        <v>-1794</v>
      </c>
      <c r="F352" s="16">
        <v>577</v>
      </c>
      <c r="G352" s="16">
        <v>5217</v>
      </c>
      <c r="H352" s="16">
        <v>0</v>
      </c>
      <c r="I352" s="16">
        <v>0</v>
      </c>
      <c r="J352" s="16">
        <v>0</v>
      </c>
      <c r="K352" s="16">
        <v>0</v>
      </c>
      <c r="L352" s="16">
        <v>0</v>
      </c>
    </row>
    <row r="353" spans="1:12" x14ac:dyDescent="0.2">
      <c r="A353" s="17" t="s">
        <v>110</v>
      </c>
      <c r="B353" s="17"/>
      <c r="C353" s="16">
        <v>11312</v>
      </c>
      <c r="D353" s="16">
        <v>11643</v>
      </c>
      <c r="E353" s="16">
        <v>7036</v>
      </c>
      <c r="F353" s="16">
        <v>10508</v>
      </c>
      <c r="G353" s="16">
        <v>15326</v>
      </c>
      <c r="H353" s="16">
        <v>9750</v>
      </c>
      <c r="I353" s="16">
        <v>3897</v>
      </c>
      <c r="J353" s="16">
        <v>13027</v>
      </c>
      <c r="K353" s="16">
        <v>14306</v>
      </c>
      <c r="L353" s="16">
        <v>14742</v>
      </c>
    </row>
    <row r="354" spans="1:12" x14ac:dyDescent="0.2">
      <c r="A354" s="17" t="s">
        <v>302</v>
      </c>
      <c r="B354" s="17"/>
      <c r="C354" s="16">
        <v>244</v>
      </c>
      <c r="D354" s="16">
        <v>253</v>
      </c>
      <c r="E354" s="16">
        <v>259</v>
      </c>
      <c r="F354" s="16">
        <v>255</v>
      </c>
      <c r="G354" s="16">
        <v>247</v>
      </c>
      <c r="H354" s="16">
        <v>265</v>
      </c>
      <c r="I354" s="16">
        <v>263</v>
      </c>
      <c r="J354" s="16">
        <v>263</v>
      </c>
      <c r="K354" s="16">
        <v>271</v>
      </c>
      <c r="L354" s="16">
        <v>281</v>
      </c>
    </row>
    <row r="355" spans="1:12" x14ac:dyDescent="0.2">
      <c r="A355" s="17" t="s">
        <v>303</v>
      </c>
      <c r="B355" s="17"/>
      <c r="C355" s="16">
        <v>4.04</v>
      </c>
      <c r="D355" s="16">
        <v>4.16</v>
      </c>
      <c r="E355" s="16">
        <v>3.16</v>
      </c>
      <c r="F355" s="16">
        <v>3.59</v>
      </c>
      <c r="G355" s="16">
        <v>3.79</v>
      </c>
      <c r="H355" s="16">
        <v>3.75</v>
      </c>
      <c r="I355" s="16">
        <v>1.45</v>
      </c>
      <c r="J355" s="16">
        <v>5.13</v>
      </c>
      <c r="K355" s="16">
        <v>5.69</v>
      </c>
      <c r="L355" s="16">
        <v>6</v>
      </c>
    </row>
    <row r="356" spans="1:12" x14ac:dyDescent="0.2">
      <c r="A356" s="17" t="s">
        <v>304</v>
      </c>
      <c r="B356" s="17"/>
      <c r="C356" s="16">
        <v>4.04</v>
      </c>
      <c r="D356" s="16">
        <v>4.1900000000000004</v>
      </c>
      <c r="E356" s="16">
        <v>2.5</v>
      </c>
      <c r="F356" s="16">
        <v>3.8</v>
      </c>
      <c r="G356" s="16">
        <v>5.8</v>
      </c>
      <c r="H356" s="16">
        <v>3.75</v>
      </c>
      <c r="I356" s="16">
        <v>1.45</v>
      </c>
      <c r="J356" s="16">
        <v>5.13</v>
      </c>
      <c r="K356" s="16">
        <v>5.69</v>
      </c>
      <c r="L356" s="16">
        <v>6</v>
      </c>
    </row>
    <row r="357" spans="1:12" x14ac:dyDescent="0.2">
      <c r="A357" s="17" t="s">
        <v>305</v>
      </c>
      <c r="B357" s="17"/>
      <c r="C357" s="16">
        <v>3.86</v>
      </c>
      <c r="D357" s="16">
        <v>3.98</v>
      </c>
      <c r="E357" s="16">
        <v>3.06</v>
      </c>
      <c r="F357" s="16">
        <v>3.49</v>
      </c>
      <c r="G357" s="16">
        <v>3.69</v>
      </c>
      <c r="H357" s="16">
        <v>3.67</v>
      </c>
      <c r="I357" s="16">
        <v>1.43</v>
      </c>
      <c r="J357" s="16">
        <v>4.96</v>
      </c>
      <c r="K357" s="16">
        <v>5.5</v>
      </c>
      <c r="L357" s="16">
        <v>5.81</v>
      </c>
    </row>
    <row r="358" spans="1:12" x14ac:dyDescent="0.2">
      <c r="A358" s="17" t="s">
        <v>306</v>
      </c>
      <c r="B358" s="17"/>
      <c r="C358" s="16">
        <v>3.86</v>
      </c>
      <c r="D358" s="16">
        <v>4.01</v>
      </c>
      <c r="E358" s="16">
        <v>2.44</v>
      </c>
      <c r="F358" s="16">
        <v>3.69</v>
      </c>
      <c r="G358" s="16">
        <v>5.59</v>
      </c>
      <c r="H358" s="16">
        <v>3.67</v>
      </c>
      <c r="I358" s="16">
        <v>1.43</v>
      </c>
      <c r="J358" s="16">
        <v>4.96</v>
      </c>
      <c r="K358" s="16">
        <v>5.5</v>
      </c>
      <c r="L358" s="16">
        <v>5.81</v>
      </c>
    </row>
    <row r="359" spans="1:12" x14ac:dyDescent="0.2">
      <c r="A359" s="17" t="s">
        <v>307</v>
      </c>
      <c r="B359" s="17"/>
      <c r="C359" s="16">
        <v>2742.9</v>
      </c>
      <c r="D359" s="16">
        <v>2719.8</v>
      </c>
      <c r="E359" s="16">
        <v>2711.7</v>
      </c>
      <c r="F359" s="16">
        <v>2698.9</v>
      </c>
      <c r="G359" s="16">
        <v>2598.1</v>
      </c>
      <c r="H359" s="16">
        <v>2529.3000000000002</v>
      </c>
      <c r="I359" s="16">
        <v>2503.6</v>
      </c>
      <c r="J359" s="16">
        <v>2487.1</v>
      </c>
      <c r="K359" s="16">
        <v>2465.8000000000002</v>
      </c>
      <c r="L359" s="16">
        <v>2410.3000000000002</v>
      </c>
    </row>
    <row r="360" spans="1:12" x14ac:dyDescent="0.2">
      <c r="A360" s="17" t="s">
        <v>136</v>
      </c>
    </row>
    <row r="361" spans="1:12" x14ac:dyDescent="0.2">
      <c r="A361" s="17" t="s">
        <v>308</v>
      </c>
      <c r="B361" s="17"/>
      <c r="C361" s="16">
        <v>2930.6</v>
      </c>
      <c r="D361" s="16">
        <v>2904.7</v>
      </c>
      <c r="E361" s="16">
        <v>2883.6</v>
      </c>
      <c r="F361" s="16">
        <v>2844.4</v>
      </c>
      <c r="G361" s="16">
        <v>2740.4</v>
      </c>
      <c r="H361" s="16">
        <v>2656.7</v>
      </c>
      <c r="I361" s="16">
        <v>2539.5</v>
      </c>
      <c r="J361" s="16">
        <v>2625.8</v>
      </c>
      <c r="K361" s="16">
        <v>2601</v>
      </c>
      <c r="L361" s="16">
        <v>2539.1</v>
      </c>
    </row>
    <row r="362" spans="1:12" x14ac:dyDescent="0.2">
      <c r="A362" s="17" t="s">
        <v>309</v>
      </c>
      <c r="B362" s="17"/>
      <c r="C362" s="16">
        <v>2742.3270000000002</v>
      </c>
      <c r="D362" s="16">
        <v>2710.806</v>
      </c>
      <c r="E362" s="16">
        <v>2714.5709999999999</v>
      </c>
      <c r="F362" s="16">
        <v>2668.0740000000001</v>
      </c>
      <c r="G362" s="16">
        <v>2553.297</v>
      </c>
      <c r="H362" s="16">
        <v>2498.0929999999998</v>
      </c>
      <c r="I362" s="16">
        <v>2504.7510000000002</v>
      </c>
      <c r="J362" s="16">
        <v>2479.7460000000001</v>
      </c>
      <c r="K362" s="16">
        <v>2429.7060000000001</v>
      </c>
      <c r="L362" s="16">
        <v>2393.877</v>
      </c>
    </row>
    <row r="363" spans="1:12" x14ac:dyDescent="0.2">
      <c r="A363" s="17" t="s">
        <v>310</v>
      </c>
      <c r="B363" s="17"/>
      <c r="C363" s="16">
        <v>14873</v>
      </c>
      <c r="D363" s="16">
        <v>13958</v>
      </c>
      <c r="E363" s="16">
        <v>14608</v>
      </c>
      <c r="F363" s="16">
        <v>15435</v>
      </c>
      <c r="G363" s="16">
        <v>12753</v>
      </c>
      <c r="H363" s="16">
        <v>14867</v>
      </c>
      <c r="I363" s="16">
        <v>15242</v>
      </c>
      <c r="J363" s="16">
        <v>17403</v>
      </c>
      <c r="K363" s="16">
        <v>18371</v>
      </c>
      <c r="L363" s="16">
        <v>16723</v>
      </c>
    </row>
    <row r="364" spans="1:12" x14ac:dyDescent="0.2">
      <c r="A364" s="17" t="s">
        <v>155</v>
      </c>
      <c r="B364" s="17"/>
      <c r="C364" s="16">
        <v>4008</v>
      </c>
      <c r="D364" s="16">
        <v>3848</v>
      </c>
      <c r="E364" s="16">
        <v>3736</v>
      </c>
      <c r="F364" s="16">
        <v>3314</v>
      </c>
      <c r="G364" s="16">
        <v>3384</v>
      </c>
      <c r="H364" s="16">
        <v>3717</v>
      </c>
      <c r="I364" s="16">
        <v>3347</v>
      </c>
      <c r="J364" s="16">
        <v>3073</v>
      </c>
      <c r="K364" s="16">
        <v>2787</v>
      </c>
      <c r="L364" s="16">
        <v>3156</v>
      </c>
    </row>
    <row r="365" spans="1:12" x14ac:dyDescent="0.2">
      <c r="A365" s="17" t="s">
        <v>156</v>
      </c>
      <c r="B365" s="17"/>
      <c r="C365" s="16"/>
      <c r="D365" s="16"/>
      <c r="E365" s="16"/>
      <c r="F365" s="16"/>
      <c r="G365" s="16"/>
      <c r="H365" s="16"/>
      <c r="I365" s="16"/>
      <c r="J365" s="16"/>
      <c r="K365" s="16"/>
      <c r="L365" s="16"/>
    </row>
    <row r="366" spans="1:12" x14ac:dyDescent="0.2">
      <c r="A366" s="17" t="s">
        <v>157</v>
      </c>
      <c r="B366" s="17"/>
      <c r="C366" s="16">
        <v>1145</v>
      </c>
      <c r="D366" s="16">
        <v>24</v>
      </c>
      <c r="E366" s="16">
        <v>137</v>
      </c>
      <c r="F366" s="16">
        <v>186</v>
      </c>
      <c r="G366" s="16">
        <v>16</v>
      </c>
      <c r="H366" s="16">
        <v>109</v>
      </c>
      <c r="I366" s="16">
        <v>3945</v>
      </c>
      <c r="J366" s="16">
        <v>58</v>
      </c>
      <c r="K366" s="16">
        <v>34</v>
      </c>
      <c r="L366" s="16">
        <v>1381</v>
      </c>
    </row>
    <row r="367" spans="1:12" x14ac:dyDescent="0.2">
      <c r="A367" s="17" t="s">
        <v>159</v>
      </c>
      <c r="B367" s="17"/>
      <c r="C367" s="16">
        <v>-6295</v>
      </c>
      <c r="D367" s="16">
        <v>-4107</v>
      </c>
      <c r="E367" s="16">
        <v>-2891</v>
      </c>
      <c r="F367" s="16">
        <v>-5575</v>
      </c>
      <c r="G367" s="16">
        <v>-5689</v>
      </c>
      <c r="H367" s="16">
        <v>-3511</v>
      </c>
      <c r="I367" s="16">
        <v>-3490</v>
      </c>
      <c r="J367" s="16">
        <v>3045</v>
      </c>
      <c r="K367" s="16">
        <v>-2834</v>
      </c>
      <c r="L367" s="16">
        <v>-4424</v>
      </c>
    </row>
    <row r="368" spans="1:12" x14ac:dyDescent="0.2">
      <c r="A368" s="17" t="s">
        <v>127</v>
      </c>
      <c r="B368" s="17"/>
      <c r="C368" s="16">
        <v>6519</v>
      </c>
      <c r="D368" s="16">
        <v>6911</v>
      </c>
      <c r="E368" s="16">
        <v>7287</v>
      </c>
      <c r="F368" s="16">
        <v>7436</v>
      </c>
      <c r="G368" s="16">
        <v>7236</v>
      </c>
      <c r="H368" s="16">
        <v>7310</v>
      </c>
      <c r="I368" s="16">
        <v>7498</v>
      </c>
      <c r="J368" s="16">
        <v>7789</v>
      </c>
      <c r="K368" s="16">
        <v>8263</v>
      </c>
      <c r="L368" s="16">
        <v>8770</v>
      </c>
    </row>
    <row r="369" spans="1:12" x14ac:dyDescent="0.2">
      <c r="A369" s="17" t="s">
        <v>311</v>
      </c>
    </row>
    <row r="370" spans="1:12" x14ac:dyDescent="0.2">
      <c r="A370" s="17" t="s">
        <v>312</v>
      </c>
      <c r="B370" s="17"/>
      <c r="C370" s="16">
        <v>683</v>
      </c>
      <c r="D370" s="16">
        <v>686</v>
      </c>
      <c r="E370" s="16">
        <v>678</v>
      </c>
      <c r="F370" s="16">
        <v>569</v>
      </c>
      <c r="G370" s="16">
        <v>518</v>
      </c>
      <c r="H370" s="16">
        <v>529</v>
      </c>
      <c r="I370" s="16">
        <v>497</v>
      </c>
      <c r="J370" s="16">
        <v>434</v>
      </c>
      <c r="K370" s="16">
        <v>531</v>
      </c>
      <c r="L370" s="16">
        <v>451</v>
      </c>
    </row>
    <row r="371" spans="1:12" x14ac:dyDescent="0.2">
      <c r="A371" s="17" t="s">
        <v>172</v>
      </c>
      <c r="B371" s="17"/>
      <c r="C371" s="16">
        <v>3780</v>
      </c>
      <c r="D371" s="16">
        <v>3320</v>
      </c>
      <c r="E371" s="16">
        <v>4558</v>
      </c>
      <c r="F371" s="16">
        <v>3730</v>
      </c>
      <c r="G371" s="16">
        <v>3714</v>
      </c>
      <c r="H371" s="16">
        <v>2830</v>
      </c>
      <c r="I371" s="16">
        <v>3064</v>
      </c>
      <c r="J371" s="16">
        <v>3550</v>
      </c>
      <c r="K371" s="16">
        <v>3822</v>
      </c>
      <c r="L371" s="16">
        <v>3818</v>
      </c>
    </row>
    <row r="372" spans="1:12" x14ac:dyDescent="0.2">
      <c r="A372" s="17" t="s">
        <v>313</v>
      </c>
      <c r="B372" s="17"/>
      <c r="C372" s="16"/>
      <c r="D372" s="16"/>
      <c r="E372" s="16"/>
      <c r="F372" s="16"/>
      <c r="G372" s="16"/>
      <c r="H372" s="16"/>
      <c r="I372" s="16"/>
      <c r="J372" s="16"/>
      <c r="K372" s="16"/>
      <c r="L372" s="16"/>
    </row>
    <row r="373" spans="1:12" x14ac:dyDescent="0.2">
      <c r="A373" s="17" t="s">
        <v>165</v>
      </c>
      <c r="B373" s="17"/>
      <c r="C373" s="16">
        <v>3406</v>
      </c>
      <c r="D373" s="16">
        <v>3304</v>
      </c>
      <c r="E373" s="16">
        <v>-2580</v>
      </c>
      <c r="F373" s="16">
        <v>-418</v>
      </c>
      <c r="G373" s="16">
        <v>2727</v>
      </c>
      <c r="H373" s="16">
        <v>-3437</v>
      </c>
      <c r="I373" s="16">
        <v>-2215</v>
      </c>
      <c r="J373" s="16">
        <v>2345</v>
      </c>
      <c r="K373" s="16">
        <v>-3333</v>
      </c>
      <c r="L373" s="16">
        <v>-150</v>
      </c>
    </row>
    <row r="374" spans="1:12" x14ac:dyDescent="0.2">
      <c r="A374" s="17" t="s">
        <v>314</v>
      </c>
      <c r="B374" s="17"/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x14ac:dyDescent="0.2">
      <c r="A375" s="17" t="s">
        <v>217</v>
      </c>
      <c r="B375" s="17"/>
      <c r="C375" s="16">
        <v>1</v>
      </c>
      <c r="D375" s="16">
        <v>1</v>
      </c>
      <c r="E375" s="16">
        <v>1</v>
      </c>
      <c r="F375" s="16">
        <v>1</v>
      </c>
      <c r="G375" s="16">
        <v>1</v>
      </c>
      <c r="H375" s="16">
        <v>1</v>
      </c>
      <c r="I375" s="16">
        <v>1</v>
      </c>
      <c r="J375" s="16">
        <v>1</v>
      </c>
      <c r="K375" s="16">
        <v>1</v>
      </c>
      <c r="L375" s="16">
        <v>1</v>
      </c>
    </row>
    <row r="376" spans="1:12" x14ac:dyDescent="0.2">
      <c r="A376" s="17" t="s">
        <v>218</v>
      </c>
      <c r="B376" s="17"/>
      <c r="C376" s="16">
        <v>9729</v>
      </c>
      <c r="D376" s="16">
        <v>9236</v>
      </c>
      <c r="E376" s="16">
        <v>8290</v>
      </c>
      <c r="F376" s="16">
        <v>7243</v>
      </c>
      <c r="G376" s="16">
        <v>7118</v>
      </c>
      <c r="H376" s="16">
        <v>7103</v>
      </c>
      <c r="I376" s="16">
        <v>6751</v>
      </c>
      <c r="J376" s="16">
        <v>7326</v>
      </c>
      <c r="K376" s="16">
        <v>8200</v>
      </c>
      <c r="L376" s="16">
        <v>7900</v>
      </c>
    </row>
    <row r="377" spans="1:12" x14ac:dyDescent="0.2">
      <c r="A377" s="17" t="s">
        <v>232</v>
      </c>
      <c r="B377" s="17"/>
      <c r="C377" s="16">
        <v>2.2875000000000001</v>
      </c>
      <c r="D377" s="16">
        <v>2.4481000000000002</v>
      </c>
      <c r="E377" s="16">
        <v>2.5937000000000001</v>
      </c>
      <c r="F377" s="16">
        <v>2.6581999999999999</v>
      </c>
      <c r="G377" s="16">
        <v>2.6981000000000002</v>
      </c>
      <c r="H377" s="16">
        <v>2.786</v>
      </c>
      <c r="I377" s="16">
        <v>2.8975</v>
      </c>
      <c r="J377" s="16">
        <v>3.0284</v>
      </c>
      <c r="K377" s="16">
        <v>3.2418999999999998</v>
      </c>
      <c r="L377" s="16">
        <v>3.5226999999999999</v>
      </c>
    </row>
    <row r="378" spans="1:12" x14ac:dyDescent="0.2">
      <c r="A378" s="17" t="s">
        <v>233</v>
      </c>
      <c r="B378" s="17"/>
      <c r="C378" s="16">
        <v>6275</v>
      </c>
      <c r="D378" s="16">
        <v>6658</v>
      </c>
      <c r="E378" s="16">
        <v>7028</v>
      </c>
      <c r="F378" s="16">
        <v>7181</v>
      </c>
      <c r="G378" s="16">
        <v>6989</v>
      </c>
      <c r="H378" s="16">
        <v>7057</v>
      </c>
      <c r="I378" s="16">
        <v>7256</v>
      </c>
      <c r="J378" s="16">
        <v>7551</v>
      </c>
      <c r="K378" s="16">
        <v>8020</v>
      </c>
      <c r="L378" s="16">
        <v>8514</v>
      </c>
    </row>
    <row r="379" spans="1:12" x14ac:dyDescent="0.2">
      <c r="A379" s="17" t="s">
        <v>234</v>
      </c>
      <c r="B379" s="17"/>
      <c r="C379" s="16">
        <v>244</v>
      </c>
      <c r="D379" s="16">
        <v>253</v>
      </c>
      <c r="E379" s="16">
        <v>259</v>
      </c>
      <c r="F379" s="16">
        <v>255</v>
      </c>
      <c r="G379" s="16">
        <v>247</v>
      </c>
      <c r="H379" s="16">
        <v>265</v>
      </c>
      <c r="I379" s="16">
        <v>263</v>
      </c>
      <c r="J379" s="16">
        <v>263</v>
      </c>
      <c r="K379" s="16">
        <v>271</v>
      </c>
      <c r="L379" s="16">
        <v>281</v>
      </c>
    </row>
    <row r="380" spans="1:12" x14ac:dyDescent="0.2">
      <c r="A380" s="17" t="s">
        <v>247</v>
      </c>
      <c r="B380" s="17"/>
      <c r="C380" s="16">
        <v>1137</v>
      </c>
      <c r="D380" s="16">
        <v>1111</v>
      </c>
      <c r="E380" s="16">
        <v>1077</v>
      </c>
      <c r="F380" s="16">
        <v>1038</v>
      </c>
      <c r="G380" s="16">
        <v>1006</v>
      </c>
      <c r="H380" s="16">
        <v>967</v>
      </c>
      <c r="I380" s="16">
        <v>928</v>
      </c>
      <c r="J380" s="16">
        <v>897</v>
      </c>
      <c r="K380" s="16">
        <v>870</v>
      </c>
      <c r="L380" s="16">
        <v>843</v>
      </c>
    </row>
    <row r="381" spans="1:12" x14ac:dyDescent="0.2">
      <c r="A381" s="17" t="s">
        <v>248</v>
      </c>
      <c r="B381" s="17"/>
      <c r="C381" s="16">
        <v>1137</v>
      </c>
      <c r="D381" s="16">
        <v>1111</v>
      </c>
      <c r="E381" s="16">
        <v>1077</v>
      </c>
      <c r="F381" s="16">
        <v>1038</v>
      </c>
      <c r="G381" s="16">
        <v>1006</v>
      </c>
      <c r="H381" s="16">
        <v>967</v>
      </c>
      <c r="I381" s="16">
        <v>928</v>
      </c>
      <c r="J381" s="16">
        <v>897</v>
      </c>
      <c r="K381" s="16">
        <v>870</v>
      </c>
      <c r="L381" s="16">
        <v>843</v>
      </c>
    </row>
    <row r="382" spans="1:12" x14ac:dyDescent="0.2">
      <c r="A382" s="17" t="s">
        <v>250</v>
      </c>
      <c r="B382" s="17"/>
      <c r="C382" s="16">
        <v>81.41</v>
      </c>
      <c r="D382" s="16">
        <v>91.09</v>
      </c>
      <c r="E382" s="16">
        <v>79.41</v>
      </c>
      <c r="F382" s="16">
        <v>84.08</v>
      </c>
      <c r="G382" s="16">
        <v>91.88</v>
      </c>
      <c r="H382" s="16">
        <v>91.92</v>
      </c>
      <c r="I382" s="16">
        <v>124.9</v>
      </c>
      <c r="J382" s="16">
        <v>139.13999999999999</v>
      </c>
      <c r="K382" s="16">
        <v>163.58000000000001</v>
      </c>
      <c r="L382" s="16"/>
    </row>
    <row r="383" spans="1:12" x14ac:dyDescent="0.2">
      <c r="A383" s="17" t="s">
        <v>253</v>
      </c>
      <c r="B383" s="17"/>
      <c r="C383" s="16">
        <v>76.989999999999995</v>
      </c>
      <c r="D383" s="16">
        <v>78.59</v>
      </c>
      <c r="E383" s="16">
        <v>78.239999999999995</v>
      </c>
      <c r="F383" s="16">
        <v>84.67</v>
      </c>
      <c r="G383" s="16">
        <v>87.15</v>
      </c>
      <c r="H383" s="16">
        <v>78.06</v>
      </c>
      <c r="I383" s="16">
        <v>109.65</v>
      </c>
      <c r="J383" s="16">
        <v>119.57</v>
      </c>
      <c r="K383" s="16">
        <v>134.93</v>
      </c>
      <c r="L383" s="16">
        <v>143.79</v>
      </c>
    </row>
    <row r="384" spans="1:12" x14ac:dyDescent="0.2">
      <c r="A384" s="17" t="s">
        <v>254</v>
      </c>
      <c r="B384" s="17"/>
      <c r="C384" s="16"/>
      <c r="D384" s="16"/>
      <c r="E384" s="16"/>
      <c r="F384" s="16"/>
      <c r="G384" s="16"/>
      <c r="H384" s="16"/>
      <c r="I384" s="16"/>
      <c r="J384" s="16"/>
      <c r="K384" s="16"/>
      <c r="L384" s="16"/>
    </row>
    <row r="385" spans="1:12" x14ac:dyDescent="0.2">
      <c r="A385" s="17" t="s">
        <v>260</v>
      </c>
      <c r="B385" s="17"/>
      <c r="C385" s="16"/>
      <c r="D385" s="16"/>
      <c r="E385" s="16"/>
      <c r="F385" s="16"/>
      <c r="G385" s="16"/>
      <c r="H385" s="16"/>
      <c r="I385" s="16"/>
      <c r="J385" s="16">
        <v>347</v>
      </c>
      <c r="K385" s="16">
        <v>320</v>
      </c>
      <c r="L385" s="16">
        <v>309</v>
      </c>
    </row>
    <row r="386" spans="1:12" x14ac:dyDescent="0.2">
      <c r="A386" s="17" t="s">
        <v>262</v>
      </c>
      <c r="B386" s="17"/>
      <c r="C386" s="16">
        <v>2023</v>
      </c>
      <c r="D386" s="16">
        <v>2023</v>
      </c>
      <c r="E386" s="16">
        <v>2047</v>
      </c>
      <c r="F386" s="16">
        <v>1879</v>
      </c>
      <c r="G386" s="16">
        <v>1874</v>
      </c>
      <c r="H386" s="16">
        <v>1908</v>
      </c>
      <c r="I386" s="16">
        <v>1861</v>
      </c>
      <c r="J386" s="16">
        <v>1834</v>
      </c>
      <c r="K386" s="16">
        <v>1900</v>
      </c>
      <c r="L386" s="16">
        <v>2000</v>
      </c>
    </row>
  </sheetData>
  <mergeCells count="3">
    <mergeCell ref="C1:H1"/>
    <mergeCell ref="D4:I4"/>
    <mergeCell ref="D5:I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Portfolio</vt:lpstr>
      <vt:lpstr>Final Investment</vt:lpstr>
      <vt:lpstr>Stock Valuation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2022-10-12T16:33:20Z</dcterms:created>
  <dcterms:modified xsi:type="dcterms:W3CDTF">2022-12-16T01:10:41Z</dcterms:modified>
</cp:coreProperties>
</file>