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95930\Desktop\U of MN\Modules\2021.09.26 - Module 1\"/>
    </mc:Choice>
  </mc:AlternateContent>
  <xr:revisionPtr revIDLastSave="0" documentId="13_ncr:1_{83E4686A-842A-4D0E-AB22-D29C6876252E}" xr6:coauthVersionLast="45" xr6:coauthVersionMax="45" xr10:uidLastSave="{00000000-0000-0000-0000-000000000000}"/>
  <bookViews>
    <workbookView xWindow="-120" yWindow="-120" windowWidth="19440" windowHeight="15000" tabRatio="762" xr2:uid="{00000000-000D-0000-FFFF-FFFF00000000}"/>
  </bookViews>
  <sheets>
    <sheet name="Theater Outcomes by Launch Date" sheetId="9" r:id="rId1"/>
    <sheet name="Kickstarter" sheetId="1" r:id="rId2"/>
    <sheet name="Outcomes Based on Goals" sheetId="12" r:id="rId3"/>
    <sheet name="TimeValues" sheetId="3" r:id="rId4"/>
    <sheet name="Subcategory Statistics" sheetId="2" r:id="rId5"/>
    <sheet name="Edinburgh Research" sheetId="4" r:id="rId6"/>
  </sheets>
  <definedNames>
    <definedName name="_xlnm._FilterDatabase" localSheetId="1" hidden="1">Kickstarter!$A$1:$T$4115</definedName>
  </definedNames>
  <calcPr calcId="191029"/>
  <pivotCaches>
    <pivotCache cacheId="0" r:id="rId7"/>
    <pivotCache cacheId="1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7" i="12" l="1"/>
  <c r="E17" i="12" s="1"/>
  <c r="D16" i="12"/>
  <c r="C16" i="12"/>
  <c r="B16" i="12"/>
  <c r="E16" i="12" s="1"/>
  <c r="D13" i="12"/>
  <c r="C13" i="12"/>
  <c r="B13" i="12"/>
  <c r="D12" i="12"/>
  <c r="D11" i="12"/>
  <c r="C12" i="12"/>
  <c r="C11" i="12"/>
  <c r="B11" i="12"/>
  <c r="B12" i="12"/>
  <c r="D10" i="12"/>
  <c r="D9" i="12"/>
  <c r="D8" i="12"/>
  <c r="D7" i="12"/>
  <c r="D6" i="12"/>
  <c r="D5" i="12"/>
  <c r="D4" i="12"/>
  <c r="D3" i="12"/>
  <c r="D2" i="12"/>
  <c r="C10" i="12"/>
  <c r="C9" i="12"/>
  <c r="C8" i="12"/>
  <c r="C7" i="12"/>
  <c r="C6" i="12"/>
  <c r="C5" i="12"/>
  <c r="C4" i="12"/>
  <c r="C3" i="12"/>
  <c r="C2" i="12"/>
  <c r="B10" i="12"/>
  <c r="B9" i="12"/>
  <c r="B8" i="12"/>
  <c r="B7" i="12"/>
  <c r="B6" i="12"/>
  <c r="B5" i="12"/>
  <c r="B4" i="12"/>
  <c r="B3" i="12"/>
  <c r="B2" i="12"/>
  <c r="E7" i="12" l="1"/>
  <c r="H7" i="12" s="1"/>
  <c r="E9" i="12"/>
  <c r="H9" i="12" s="1"/>
  <c r="E6" i="12"/>
  <c r="F6" i="12" s="1"/>
  <c r="E5" i="12"/>
  <c r="G5" i="12" s="1"/>
  <c r="E2" i="12"/>
  <c r="E4" i="12"/>
  <c r="F4" i="12" s="1"/>
  <c r="E10" i="12"/>
  <c r="G10" i="12" s="1"/>
  <c r="E12" i="12"/>
  <c r="H12" i="12" s="1"/>
  <c r="E13" i="12"/>
  <c r="F13" i="12" s="1"/>
  <c r="E8" i="12"/>
  <c r="H8" i="12" s="1"/>
  <c r="E11" i="12"/>
  <c r="G11" i="12" s="1"/>
  <c r="E3" i="12"/>
  <c r="H3" i="12" s="1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G6" i="12" l="1"/>
  <c r="F2" i="12"/>
  <c r="E19" i="12"/>
  <c r="E21" i="12" s="1"/>
  <c r="G4" i="12"/>
  <c r="G7" i="12"/>
  <c r="F7" i="12"/>
  <c r="F9" i="12"/>
  <c r="F3" i="12"/>
  <c r="G13" i="12"/>
  <c r="H13" i="12"/>
  <c r="H11" i="12"/>
  <c r="G9" i="12"/>
  <c r="F10" i="12"/>
  <c r="F12" i="12"/>
  <c r="G2" i="12"/>
  <c r="H10" i="12"/>
  <c r="H4" i="12"/>
  <c r="G12" i="12"/>
  <c r="G3" i="12"/>
  <c r="H2" i="12"/>
  <c r="F8" i="12"/>
  <c r="F5" i="12"/>
  <c r="H6" i="12"/>
  <c r="F11" i="12"/>
  <c r="H5" i="12"/>
  <c r="G8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<sst xmlns="http://schemas.openxmlformats.org/spreadsheetml/2006/main" count="33055" uniqueCount="8418">
  <si>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</si>
  <si>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</si>
  <si>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</si>
  <si>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</si>
  <si>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</si>
  <si>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</si>
  <si>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</si>
  <si>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</si>
  <si>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</si>
  <si>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</si>
  <si>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</si>
  <si>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</si>
  <si>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</si>
  <si>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</si>
  <si>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</si>
  <si>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</si>
  <si>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</si>
  <si>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</si>
  <si>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</si>
  <si>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</si>
  <si>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</si>
  <si>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</si>
  <si>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</si>
  <si>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</si>
  <si>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</si>
  <si>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</si>
  <si>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</si>
  <si>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</si>
  <si>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</si>
  <si>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</si>
  <si>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</si>
  <si>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</si>
  <si>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</si>
  <si>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</si>
  <si>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</si>
  <si>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</si>
  <si>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</si>
  <si>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</si>
  <si>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</si>
  <si>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</si>
  <si>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</si>
  <si>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</si>
  <si>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</si>
  <si>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</si>
  <si>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</si>
  <si>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</si>
  <si>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</si>
  <si>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</si>
  <si>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</si>
  <si>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</si>
  <si>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</si>
  <si>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</si>
  <si>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</si>
  <si>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</si>
  <si>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</si>
  <si>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</si>
  <si>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</si>
  <si>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</si>
  <si>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</si>
  <si>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</si>
  <si>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</si>
  <si>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</si>
  <si>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</si>
  <si>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</si>
  <si>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</si>
  <si>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</si>
  <si>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</si>
  <si>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</si>
  <si>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</si>
  <si>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</si>
  <si>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</si>
  <si>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</si>
  <si>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</si>
  <si>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</si>
  <si>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</si>
  <si>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</si>
  <si>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</si>
  <si>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</si>
  <si>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</si>
  <si>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</si>
  <si>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</si>
  <si>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</si>
  <si>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</si>
  <si>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</si>
  <si>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</si>
  <si>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</si>
  <si>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</si>
  <si>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</si>
  <si>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</si>
  <si>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</si>
  <si>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</si>
  <si>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</si>
  <si>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</si>
  <si>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</si>
  <si>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</si>
  <si>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</si>
  <si>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</si>
  <si>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</si>
  <si>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</si>
  <si>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</si>
  <si>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</si>
  <si>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</si>
  <si>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</si>
  <si>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</si>
  <si>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</si>
  <si>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</si>
  <si>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</si>
  <si>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</si>
  <si>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</si>
  <si>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</si>
  <si>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</si>
  <si>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</si>
  <si>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</si>
  <si>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</si>
  <si>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</si>
  <si>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</si>
  <si>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</si>
  <si>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</si>
  <si>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</si>
  <si>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</si>
  <si>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</si>
  <si>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</si>
  <si>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</si>
  <si>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</si>
  <si>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</si>
  <si>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</si>
  <si>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</si>
  <si>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</si>
  <si>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</si>
  <si>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</si>
  <si>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</si>
  <si>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</si>
  <si>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</si>
  <si>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</si>
  <si>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</si>
  <si>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</si>
  <si>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</si>
  <si>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</si>
  <si>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</si>
  <si>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</si>
  <si>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</si>
  <si>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</si>
  <si>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</si>
  <si>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</si>
  <si>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</si>
  <si>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</si>
  <si>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</si>
  <si>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</si>
  <si>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</si>
  <si>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</si>
  <si>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</si>
  <si>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</si>
  <si>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</si>
  <si>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</si>
  <si>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</si>
  <si>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</si>
  <si>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</si>
  <si>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</si>
  <si>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</si>
  <si>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</si>
  <si>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</si>
  <si>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</si>
  <si>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</si>
  <si>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</si>
  <si>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</si>
  <si>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</si>
  <si>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</si>
  <si>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</si>
  <si>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</si>
  <si>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</si>
  <si>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</si>
  <si>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</si>
  <si>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</si>
  <si>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</si>
  <si>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</si>
  <si>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</si>
  <si>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</si>
  <si>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</si>
  <si>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</si>
  <si>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</si>
  <si>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</si>
  <si>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</si>
  <si>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</si>
  <si>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</si>
  <si>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</si>
  <si>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</si>
  <si>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</si>
  <si>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</si>
  <si>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</si>
  <si>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</si>
  <si>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</si>
  <si>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</si>
  <si>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</si>
  <si>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</si>
  <si>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</si>
  <si>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</si>
  <si>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</si>
  <si>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</si>
  <si>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</si>
  <si>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</si>
  <si>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</si>
  <si>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</si>
  <si>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</si>
  <si>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</si>
  <si>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</si>
  <si>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</si>
  <si>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</si>
  <si>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</si>
  <si>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</si>
  <si>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</si>
  <si>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</si>
  <si>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</si>
  <si>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</si>
  <si>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</si>
  <si>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</si>
  <si>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</si>
  <si>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</si>
  <si>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</si>
  <si>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</si>
  <si>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</si>
  <si>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</si>
  <si>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</si>
  <si>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</si>
  <si>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</si>
  <si>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</si>
  <si>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</si>
  <si>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</si>
  <si>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</si>
  <si>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</si>
  <si>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</si>
  <si>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</si>
  <si>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</si>
  <si>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</si>
  <si>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</si>
  <si>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</si>
  <si>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</si>
  <si>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</si>
  <si>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</si>
  <si>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</si>
  <si>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</si>
  <si>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</si>
  <si>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</si>
  <si>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</si>
  <si>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</si>
  <si>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</si>
  <si>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</si>
  <si>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</si>
  <si>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</si>
  <si>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</si>
  <si>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</si>
  <si>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</si>
  <si>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</si>
  <si>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</si>
  <si>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</si>
  <si>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</si>
  <si>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</si>
  <si>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</si>
  <si>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</si>
  <si>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</si>
  <si>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</si>
  <si>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</si>
  <si>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</si>
  <si>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</si>
  <si>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</si>
  <si>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</si>
  <si>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</si>
  <si>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</si>
  <si>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</si>
  <si>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</si>
  <si>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</si>
  <si>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</si>
  <si>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</si>
  <si>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</si>
  <si>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</si>
  <si>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</si>
  <si>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</si>
  <si>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</si>
  <si>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</si>
  <si>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</si>
  <si>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</si>
  <si>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</si>
  <si>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</si>
  <si>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</si>
  <si>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</si>
  <si>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</si>
  <si>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</si>
  <si>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</si>
  <si>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</si>
  <si>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</si>
  <si>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</si>
  <si>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</si>
  <si>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</si>
  <si>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</si>
  <si>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</si>
  <si>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</si>
  <si>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</si>
  <si>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</si>
  <si>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</si>
  <si>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</si>
  <si>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</si>
  <si>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</si>
  <si>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</si>
  <si>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</si>
  <si>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</si>
  <si>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</si>
  <si>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</si>
  <si>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</si>
  <si>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</si>
  <si>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</si>
  <si>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</si>
  <si>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</si>
  <si>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</si>
  <si>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</si>
  <si>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</si>
  <si>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</si>
  <si>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</si>
  <si>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</si>
  <si>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</si>
  <si>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</si>
  <si>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</si>
  <si>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</si>
  <si>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</si>
  <si>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</si>
  <si>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</si>
  <si>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</si>
  <si>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</si>
  <si>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</si>
  <si>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</si>
  <si>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</si>
  <si>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</si>
  <si>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</si>
  <si>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</si>
  <si>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</si>
  <si>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</si>
  <si>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</si>
  <si>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</si>
  <si>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</si>
  <si>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</si>
  <si>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</si>
  <si>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</si>
  <si>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</si>
  <si>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</si>
  <si>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</si>
  <si>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</si>
  <si>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</si>
  <si>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</si>
  <si>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</si>
  <si>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</si>
  <si>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</si>
  <si>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</si>
  <si>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</si>
  <si>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</si>
  <si>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</si>
  <si>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</si>
  <si>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</si>
  <si>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</si>
  <si>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</si>
  <si>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</si>
  <si>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</si>
  <si>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</si>
  <si>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</si>
  <si>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</si>
  <si>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</si>
  <si>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</si>
  <si>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</si>
  <si>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</si>
  <si>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</si>
  <si>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</si>
  <si>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</si>
  <si>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</si>
  <si>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</si>
  <si>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</si>
  <si>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</si>
  <si>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</si>
  <si>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</si>
  <si>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</si>
  <si>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</si>
  <si>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</si>
  <si>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</si>
  <si>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</si>
  <si>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</si>
  <si>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</si>
  <si>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</si>
  <si>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</si>
  <si>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</si>
  <si>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</si>
  <si>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</si>
  <si>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</si>
  <si>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</si>
  <si>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</si>
  <si>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</si>
  <si>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</si>
  <si>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</si>
  <si>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</si>
  <si>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</si>
  <si>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</si>
  <si>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</si>
  <si>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</si>
  <si>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</si>
  <si>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</si>
  <si>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</si>
  <si>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</si>
  <si>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</si>
  <si>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</si>
  <si>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</si>
  <si>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</si>
  <si>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</si>
  <si>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</si>
  <si>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</si>
  <si>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</si>
  <si>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</si>
  <si>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</si>
  <si>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</si>
  <si>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</si>
  <si>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</si>
  <si>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</si>
  <si>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</si>
  <si>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</si>
  <si>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</si>
  <si>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</si>
  <si>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</si>
  <si>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</si>
  <si>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</si>
  <si>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</si>
  <si>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</si>
  <si>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</si>
  <si>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</si>
  <si>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</si>
  <si>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</si>
  <si>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</si>
  <si>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</si>
  <si>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</si>
  <si>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</si>
  <si>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</si>
  <si>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</si>
  <si>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</si>
  <si>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</si>
  <si>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</si>
  <si>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</si>
  <si>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</si>
  <si>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</si>
  <si>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</si>
  <si>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</si>
  <si>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</si>
  <si>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</si>
  <si>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</si>
  <si>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</si>
  <si>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</si>
  <si>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</si>
  <si>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</si>
  <si>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</si>
  <si>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</si>
  <si>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</si>
  <si>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</si>
  <si>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</si>
  <si>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</si>
  <si>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</si>
  <si>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</si>
  <si>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</si>
  <si>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</si>
  <si>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</si>
  <si>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</si>
  <si>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</si>
  <si>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</si>
  <si>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</si>
  <si>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</si>
  <si>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</si>
  <si>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</si>
  <si>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</si>
  <si>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</si>
  <si>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</si>
  <si>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</si>
  <si>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</si>
  <si>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</si>
  <si>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</si>
  <si>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</si>
  <si>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</si>
  <si>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</si>
  <si>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</si>
  <si>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</si>
  <si>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</si>
  <si>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</si>
  <si>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</si>
  <si>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</si>
  <si>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</si>
  <si>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</si>
  <si>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</si>
  <si>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</si>
  <si>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</si>
  <si>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</si>
  <si>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</si>
  <si>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</si>
  <si>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</si>
  <si>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</si>
  <si>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</si>
  <si>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</si>
  <si>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</si>
  <si>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</si>
  <si>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</si>
  <si>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</si>
  <si>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</si>
  <si>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</si>
  <si>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</si>
  <si>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</si>
  <si>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</si>
  <si>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</si>
  <si>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</si>
  <si>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</si>
  <si>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</si>
  <si>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</si>
  <si>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</si>
  <si>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</si>
  <si>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</si>
  <si>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</si>
  <si>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</si>
  <si>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</si>
  <si>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</si>
  <si>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</si>
  <si>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</si>
  <si>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</si>
  <si>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</si>
  <si>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</si>
  <si>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</si>
  <si>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</si>
  <si>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</si>
  <si>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</si>
  <si>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</si>
  <si>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</si>
  <si>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</si>
  <si>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</si>
  <si>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</si>
  <si>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</si>
  <si>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</si>
  <si>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</si>
  <si>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</si>
  <si>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</si>
  <si>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</si>
  <si>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</si>
  <si>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</si>
  <si>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</si>
  <si>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</si>
  <si>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</si>
  <si>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</si>
  <si>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</si>
  <si>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</si>
  <si>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</si>
  <si>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</si>
  <si>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</si>
  <si>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</si>
  <si>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</si>
  <si>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</si>
  <si>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</si>
  <si>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</si>
  <si>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</si>
  <si>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</si>
  <si>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</si>
  <si>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</si>
  <si>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</si>
  <si>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</si>
  <si>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</si>
  <si>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</si>
  <si>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</si>
  <si>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</si>
  <si>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</si>
  <si>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</si>
  <si>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</si>
  <si>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</si>
  <si>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</si>
  <si>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</si>
  <si>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</si>
  <si>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</si>
  <si>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</si>
  <si>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</si>
  <si>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</si>
  <si>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</si>
  <si>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</si>
  <si>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</si>
  <si>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</si>
  <si>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</si>
  <si>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</si>
  <si>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</si>
  <si>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</si>
  <si>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</si>
  <si>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</si>
  <si>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</si>
  <si>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</si>
  <si>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</si>
  <si>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</si>
  <si>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</si>
  <si>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</si>
  <si>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</si>
  <si>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</si>
  <si>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</si>
  <si>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</si>
  <si>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</si>
  <si>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</si>
  <si>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</si>
  <si>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</si>
  <si>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</si>
  <si>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</si>
  <si>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</si>
  <si>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</si>
  <si>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</si>
  <si>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</si>
  <si>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</si>
  <si>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</si>
  <si>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</si>
  <si>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</si>
  <si>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</si>
  <si>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</si>
  <si>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</si>
  <si>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</si>
  <si>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</si>
  <si>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</si>
  <si>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</si>
  <si>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</si>
  <si>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</si>
  <si>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</si>
  <si>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</si>
  <si>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</si>
  <si>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</si>
  <si>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</si>
  <si>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</si>
  <si>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</si>
  <si>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</si>
  <si>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</si>
  <si>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</si>
  <si>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</si>
  <si>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</si>
  <si>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</si>
  <si>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</si>
  <si>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</si>
  <si>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</si>
  <si>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</si>
  <si>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</si>
  <si>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</si>
  <si>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</si>
  <si>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</si>
  <si>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</si>
  <si>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</si>
  <si>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</si>
  <si>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</si>
  <si>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</si>
  <si>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</si>
  <si>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</si>
  <si>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</si>
  <si>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</si>
  <si>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</si>
  <si>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</si>
  <si>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</si>
  <si>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</si>
  <si>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</si>
  <si>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</si>
  <si>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</si>
  <si>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</si>
  <si>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</si>
  <si>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</si>
  <si>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</si>
  <si>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</si>
  <si>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</si>
  <si>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</si>
  <si>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</si>
  <si>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</si>
  <si>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</si>
  <si>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</si>
  <si>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</si>
  <si>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</si>
  <si>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</si>
  <si>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</si>
  <si>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</si>
  <si>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</si>
  <si>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</si>
  <si>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</si>
  <si>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</si>
  <si>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</si>
  <si>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</si>
  <si>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</si>
  <si>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</si>
  <si>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</si>
  <si>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</si>
  <si>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</si>
  <si>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</si>
  <si>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</si>
  <si>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</si>
  <si>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</si>
  <si>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</si>
  <si>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</si>
  <si>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</si>
  <si>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</si>
  <si>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</si>
  <si>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</si>
  <si>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</si>
  <si>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</si>
  <si>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</si>
  <si>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</si>
  <si>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</si>
  <si>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</si>
  <si>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</si>
  <si>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</si>
  <si>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</si>
  <si>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</si>
  <si>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</si>
  <si>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</si>
  <si>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</si>
  <si>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</si>
  <si>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</si>
  <si>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</si>
  <si>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</si>
  <si>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</si>
  <si>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</si>
  <si>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</si>
  <si>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</si>
  <si>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</si>
  <si>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</si>
  <si>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</si>
  <si>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</si>
  <si>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</si>
  <si>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</si>
  <si>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</si>
  <si>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</si>
  <si>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</si>
  <si>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</si>
  <si>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</si>
  <si>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</si>
  <si>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</si>
  <si>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</si>
  <si>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</si>
  <si>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</si>
  <si>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</si>
  <si>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</si>
  <si>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</si>
  <si>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</si>
  <si>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</si>
  <si>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</si>
  <si>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</si>
  <si>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</si>
  <si>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</si>
  <si>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</si>
  <si>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</si>
  <si>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</si>
  <si>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</si>
  <si>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</si>
  <si>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</si>
  <si>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</si>
  <si>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</si>
  <si>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</si>
  <si>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</si>
  <si>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</si>
  <si>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</si>
  <si>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</si>
  <si>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</si>
  <si>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</si>
  <si>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</si>
  <si>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</si>
  <si>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</si>
  <si>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</si>
  <si>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</si>
  <si>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</si>
  <si>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</si>
  <si>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</si>
  <si>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</si>
  <si>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</si>
  <si>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</si>
  <si>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</si>
  <si>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</si>
  <si>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</si>
  <si>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</si>
  <si>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</si>
  <si>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</si>
  <si>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</si>
  <si>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</si>
  <si>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</si>
  <si>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</si>
  <si>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</si>
  <si>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</si>
  <si>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</si>
  <si>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</si>
  <si>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</si>
  <si>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</si>
  <si>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</si>
  <si>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</si>
  <si>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</si>
  <si>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</si>
  <si>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</si>
  <si>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</si>
  <si>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</si>
  <si>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</si>
  <si>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</si>
  <si>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</si>
  <si>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</si>
  <si>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</si>
  <si>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</si>
  <si>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</si>
  <si>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</si>
  <si>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</si>
  <si>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</si>
  <si>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</si>
  <si>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</si>
  <si>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</si>
  <si>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</si>
  <si>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</si>
  <si>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</si>
  <si>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</si>
  <si>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</si>
  <si>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</si>
  <si>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</si>
  <si>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</si>
  <si>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</si>
  <si>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</si>
  <si>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</si>
  <si>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</si>
  <si>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</si>
  <si>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</si>
  <si>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</si>
  <si>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</si>
  <si>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</si>
  <si>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</si>
  <si>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</si>
  <si>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</si>
  <si>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</si>
  <si>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</si>
  <si>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</si>
  <si>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</si>
  <si>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</si>
  <si>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</si>
  <si>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</si>
  <si>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</si>
  <si>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</si>
  <si>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</si>
  <si>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</si>
  <si>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</si>
  <si>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</si>
  <si>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</si>
  <si>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</si>
  <si>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</si>
  <si>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</si>
  <si>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</si>
  <si>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</si>
  <si>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</si>
  <si>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</si>
  <si>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</si>
  <si>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</si>
  <si>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</si>
  <si>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</si>
  <si>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</si>
  <si>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</si>
  <si>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</si>
  <si>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</si>
  <si>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</si>
  <si>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</si>
  <si>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</si>
  <si>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</si>
  <si>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</si>
  <si>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</si>
  <si>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</si>
  <si>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</si>
  <si>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</si>
  <si>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</si>
  <si>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</si>
  <si>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</si>
  <si>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</si>
  <si>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</si>
  <si>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</si>
  <si>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</si>
  <si>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</si>
  <si>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</si>
  <si>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</si>
  <si>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</si>
  <si>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</si>
  <si>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</si>
  <si>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</si>
  <si>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</si>
  <si>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</si>
  <si>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</si>
  <si>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</si>
  <si>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</si>
  <si>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</si>
  <si>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</si>
  <si>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</si>
  <si>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</si>
  <si>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</si>
  <si>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</si>
  <si>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</si>
  <si>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</si>
  <si>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</si>
  <si>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</si>
  <si>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</si>
  <si>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</si>
  <si>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</si>
  <si>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</si>
  <si>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</si>
  <si>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</si>
  <si>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</si>
  <si>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</si>
  <si>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</si>
  <si>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</si>
  <si>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</si>
  <si>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</si>
  <si>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</si>
  <si>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</si>
  <si>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</si>
  <si>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</si>
  <si>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</si>
  <si>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</si>
  <si>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</si>
  <si>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</si>
  <si>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</si>
  <si>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</si>
  <si>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</si>
  <si>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</si>
  <si>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</si>
  <si>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</si>
  <si>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</si>
  <si>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</si>
  <si>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</si>
  <si>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</si>
  <si>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</si>
  <si>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</si>
  <si>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</si>
  <si>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</si>
  <si>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</si>
  <si>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</si>
  <si>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</si>
  <si>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</si>
  <si>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</si>
  <si>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</si>
  <si>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</si>
  <si>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</si>
  <si>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</si>
  <si>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</si>
  <si>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</si>
  <si>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</si>
  <si>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</si>
  <si>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</si>
  <si>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</si>
  <si>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</si>
  <si>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</si>
  <si>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</si>
  <si>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</si>
  <si>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</si>
  <si>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</si>
  <si>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</si>
  <si>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</si>
  <si>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</si>
  <si>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</si>
  <si>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</si>
  <si>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</si>
  <si>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</si>
  <si>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</si>
  <si>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</si>
  <si>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</si>
  <si>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</si>
  <si>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</si>
  <si>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</si>
  <si>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</si>
  <si>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</si>
  <si>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</si>
  <si>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</si>
  <si>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</si>
  <si>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</si>
  <si>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</si>
  <si>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</si>
  <si>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</si>
  <si>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</si>
  <si>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</si>
  <si>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</si>
  <si>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</si>
  <si>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</si>
  <si>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</si>
  <si>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</si>
  <si>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</si>
  <si>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</si>
  <si>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</si>
  <si>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</si>
  <si>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</si>
  <si>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</si>
  <si>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</si>
  <si>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</si>
  <si>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</si>
  <si>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</si>
  <si>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</si>
  <si>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</si>
  <si>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</si>
  <si>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</si>
  <si>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</si>
  <si>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</si>
  <si>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</si>
  <si>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</si>
  <si>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</si>
  <si>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</si>
  <si>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</si>
  <si>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</si>
  <si>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</si>
  <si>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</si>
  <si>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</si>
  <si>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</si>
  <si>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</si>
  <si>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</si>
  <si>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</si>
  <si>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</si>
  <si>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</si>
  <si>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</si>
  <si>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</si>
  <si>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</si>
  <si>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</si>
  <si>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</si>
  <si>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</si>
  <si>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</si>
  <si>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</si>
  <si>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</si>
  <si>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</si>
  <si>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</si>
  <si>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</si>
  <si>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</si>
  <si>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</si>
  <si>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</si>
  <si>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</si>
  <si>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</si>
  <si>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</si>
  <si>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</si>
  <si>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</si>
  <si>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</si>
  <si>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</si>
  <si>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</si>
  <si>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</si>
  <si>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</si>
  <si>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</si>
  <si>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</si>
  <si>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</si>
  <si>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</si>
  <si>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</si>
  <si>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</si>
  <si>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</si>
  <si>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</si>
  <si>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</si>
  <si>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</si>
  <si>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</si>
  <si>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</si>
  <si>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</si>
  <si>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</si>
  <si>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</si>
  <si>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</si>
  <si>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</si>
  <si>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</si>
  <si>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</si>
  <si>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</si>
  <si>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</si>
  <si>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</si>
  <si>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</si>
  <si>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</si>
  <si>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</si>
  <si>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</si>
  <si>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</si>
  <si>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</si>
  <si>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</si>
  <si>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</si>
  <si>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</si>
  <si>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</si>
  <si>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</si>
  <si>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</si>
  <si>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</si>
  <si>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</si>
  <si>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</si>
  <si>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</si>
  <si>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</si>
  <si>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</si>
  <si>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</si>
  <si>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</si>
  <si>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</si>
  <si>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</si>
  <si>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</si>
  <si>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</si>
  <si>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</si>
  <si>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</si>
  <si>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</si>
  <si>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</si>
  <si>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</si>
  <si>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</si>
  <si>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</si>
  <si>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</si>
  <si>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</si>
  <si>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</si>
  <si>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</si>
  <si>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</si>
  <si>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</si>
  <si>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</si>
  <si>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</si>
  <si>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</si>
  <si>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</si>
  <si>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</si>
  <si>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</si>
  <si>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</si>
  <si>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</si>
  <si>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</si>
  <si>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</si>
  <si>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</si>
  <si>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</si>
  <si>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</si>
  <si>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</si>
  <si>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</si>
  <si>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</si>
  <si>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</si>
  <si>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</si>
  <si>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</si>
  <si>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</si>
  <si>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</si>
  <si>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</si>
  <si>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</si>
  <si>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</si>
  <si>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</si>
  <si>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</si>
  <si>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</si>
  <si>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</si>
  <si>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</si>
  <si>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</si>
  <si>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</si>
  <si>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</si>
  <si>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</si>
  <si>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</si>
  <si>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</si>
  <si>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</si>
  <si>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</si>
  <si>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</si>
  <si>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</si>
  <si>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</si>
  <si>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</si>
  <si>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</si>
  <si>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</si>
  <si>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</si>
  <si>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</si>
  <si>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</si>
  <si>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</si>
  <si>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</si>
  <si>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</si>
  <si>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</si>
  <si>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</si>
  <si>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</si>
  <si>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</si>
  <si>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</si>
  <si>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</si>
  <si>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</si>
  <si>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</si>
  <si>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</si>
  <si>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</si>
  <si>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</si>
  <si>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</si>
  <si>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</si>
  <si>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</si>
  <si>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</si>
  <si>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</si>
  <si>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</si>
  <si>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</si>
  <si>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</si>
  <si>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</si>
  <si>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</si>
  <si>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</si>
  <si>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</si>
  <si>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</si>
  <si>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</si>
  <si>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</si>
  <si>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</si>
  <si>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</si>
  <si>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</si>
  <si>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</si>
  <si>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</si>
  <si>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</si>
  <si>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</si>
  <si>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</si>
  <si>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</si>
  <si>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</si>
  <si>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</si>
  <si>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</si>
  <si>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</si>
  <si>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</si>
  <si>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</si>
  <si>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</si>
  <si>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</si>
  <si>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</si>
  <si>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</si>
  <si>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</si>
  <si>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</si>
  <si>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</si>
  <si>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</si>
  <si>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</si>
  <si>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</si>
  <si>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</si>
  <si>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</si>
  <si>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</si>
  <si>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</si>
  <si>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</si>
  <si>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</si>
  <si>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</si>
  <si>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</si>
  <si>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</si>
  <si>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</si>
  <si>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</si>
  <si>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</si>
  <si>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</si>
  <si>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</si>
  <si>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</si>
  <si>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</si>
  <si>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</si>
  <si>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</si>
  <si>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</si>
  <si>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</si>
  <si>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</si>
  <si>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</si>
  <si>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</si>
  <si>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</si>
  <si>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</si>
  <si>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</si>
  <si>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</si>
  <si>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</si>
  <si>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</si>
  <si>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</si>
  <si>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</si>
  <si>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</si>
  <si>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</si>
  <si>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</si>
  <si>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</si>
  <si>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</si>
  <si>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</si>
  <si>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</si>
  <si>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</si>
  <si>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</si>
  <si>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</si>
  <si>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</si>
  <si>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</si>
  <si>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</si>
  <si>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</si>
  <si>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</si>
  <si>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</si>
  <si>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</si>
  <si>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</si>
  <si>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</si>
  <si>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</si>
  <si>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</si>
  <si>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</si>
  <si>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</si>
  <si>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</si>
  <si>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</si>
  <si>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</si>
  <si>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</si>
  <si>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</si>
  <si>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</si>
  <si>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</si>
  <si>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</si>
  <si>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</si>
  <si>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</si>
  <si>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</si>
  <si>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</si>
  <si>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</si>
  <si>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</si>
  <si>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</si>
  <si>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</si>
  <si>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</si>
  <si>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</si>
  <si>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</si>
  <si>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</si>
  <si>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</si>
  <si>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</si>
  <si>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</si>
  <si>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</si>
  <si>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</si>
  <si>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</si>
  <si>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</si>
  <si>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</si>
  <si>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</si>
  <si>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</si>
  <si>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</si>
  <si>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</si>
  <si>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</si>
  <si>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</si>
  <si>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</si>
  <si>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</si>
  <si>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</si>
  <si>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</si>
  <si>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</si>
  <si>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</si>
  <si>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</si>
  <si>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</si>
  <si>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</si>
  <si>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</si>
  <si>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</si>
  <si>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</si>
  <si>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</si>
  <si>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</si>
  <si>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</si>
  <si>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</si>
  <si>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</si>
  <si>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</si>
  <si>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</si>
  <si>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</si>
  <si>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</si>
  <si>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</si>
  <si>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</si>
  <si>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</si>
  <si>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</si>
  <si>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</si>
  <si>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</si>
  <si>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</si>
  <si>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</si>
  <si>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</si>
  <si>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</si>
  <si>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</si>
  <si>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</si>
  <si>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</si>
  <si>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</si>
  <si>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</si>
  <si>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</si>
  <si>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</si>
  <si>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</si>
  <si>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</si>
  <si>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</si>
  <si>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</si>
  <si>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</si>
  <si>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</si>
  <si>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</si>
  <si>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</si>
  <si>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</si>
  <si>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</si>
  <si>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</si>
  <si>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</si>
  <si>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</si>
  <si>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</si>
  <si>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</si>
  <si>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</si>
  <si>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</si>
  <si>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</si>
  <si>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</si>
  <si>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</si>
  <si>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</si>
  <si>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</si>
  <si>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</si>
  <si>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</si>
  <si>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</si>
  <si>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</si>
  <si>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</si>
  <si>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</si>
  <si>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</si>
  <si>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</si>
  <si>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</si>
  <si>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</si>
  <si>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</si>
  <si>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</si>
  <si>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</si>
  <si>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</si>
  <si>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</si>
  <si>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</si>
  <si>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</si>
  <si>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</si>
  <si>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</si>
  <si>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</si>
  <si>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</si>
  <si>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</si>
  <si>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</si>
  <si>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</si>
  <si>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</si>
  <si>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</si>
  <si>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</si>
  <si>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</si>
  <si>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</si>
  <si>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</si>
  <si>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</si>
  <si>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</si>
  <si>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</si>
  <si>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</si>
  <si>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</si>
  <si>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</si>
  <si>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</si>
  <si>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</si>
  <si>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</si>
  <si>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</si>
  <si>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</si>
  <si>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</si>
  <si>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</si>
  <si>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</si>
  <si>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</si>
  <si>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</si>
  <si>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</si>
  <si>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</si>
  <si>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</si>
  <si>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</si>
  <si>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</si>
  <si>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</si>
  <si>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</si>
  <si>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</si>
  <si>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</si>
  <si>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</si>
  <si>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</si>
  <si>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</si>
  <si>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</si>
  <si>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</si>
  <si>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</si>
  <si>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</si>
  <si>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</si>
  <si>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</si>
  <si>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</si>
  <si>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</si>
  <si>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</si>
  <si>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</si>
  <si>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</si>
  <si>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</si>
  <si>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</si>
  <si>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</si>
  <si>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</si>
  <si>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</si>
  <si>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</si>
  <si>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</si>
  <si>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</si>
  <si>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</si>
  <si>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</si>
  <si>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</si>
  <si>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</si>
  <si>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</si>
  <si>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</si>
  <si>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</si>
  <si>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</si>
  <si>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</si>
  <si>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</si>
  <si>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</si>
  <si>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</si>
  <si>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</si>
  <si>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</si>
  <si>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</si>
  <si>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</si>
  <si>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</si>
  <si>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</si>
  <si>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</si>
  <si>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</si>
  <si>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</si>
  <si>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</si>
  <si>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</si>
  <si>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</si>
  <si>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</si>
  <si>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</si>
  <si>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</si>
  <si>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</si>
  <si>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</si>
  <si>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</si>
  <si>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</si>
  <si>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</si>
  <si>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</si>
  <si>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</si>
  <si>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</si>
  <si>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</si>
  <si>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</si>
  <si>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</si>
  <si>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</si>
  <si>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</si>
  <si>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</si>
  <si>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</si>
  <si>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</si>
  <si>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</si>
  <si>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</si>
  <si>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</si>
  <si>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</si>
  <si>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</si>
  <si>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</si>
  <si>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</si>
  <si>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</si>
  <si>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</si>
  <si>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</si>
  <si>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</si>
  <si>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</si>
  <si>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</si>
  <si>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</si>
  <si>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</si>
  <si>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</si>
  <si>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</si>
  <si>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</si>
  <si>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</si>
  <si>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</si>
  <si>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</si>
  <si>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</si>
  <si>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</si>
  <si>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</si>
  <si>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</si>
  <si>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</si>
  <si>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</si>
  <si>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</si>
  <si>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</si>
  <si>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</si>
  <si>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</si>
  <si>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</si>
  <si>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</si>
  <si>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</si>
  <si>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</si>
  <si>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</si>
  <si>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</si>
  <si>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</si>
  <si>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</si>
  <si>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</si>
  <si>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</si>
  <si>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</si>
  <si>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</si>
  <si>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</si>
  <si>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</si>
  <si>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</si>
  <si>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</si>
  <si>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</si>
  <si>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</si>
  <si>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</si>
  <si>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</si>
  <si>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</si>
  <si>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</si>
  <si>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</si>
  <si>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</si>
  <si>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</si>
  <si>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</si>
  <si>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</si>
  <si>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</si>
  <si>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</si>
  <si>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</si>
  <si>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</si>
  <si>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</si>
  <si>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</si>
  <si>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</si>
  <si>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</si>
  <si>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</si>
  <si>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</si>
  <si>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</si>
  <si>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</si>
  <si>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</si>
  <si>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</si>
  <si>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</si>
  <si>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</si>
  <si>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</si>
  <si>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</si>
  <si>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</si>
  <si>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</si>
  <si>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</si>
  <si>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</si>
  <si>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</si>
  <si>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</si>
  <si>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</si>
  <si>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</si>
  <si>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</si>
  <si>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</si>
  <si>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</si>
  <si>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</si>
  <si>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</si>
  <si>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</si>
  <si>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</si>
  <si>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</si>
  <si>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</si>
  <si>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</si>
  <si>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</si>
  <si>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</si>
  <si>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</si>
  <si>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</si>
  <si>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</si>
  <si>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</si>
  <si>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</si>
  <si>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</si>
  <si>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</si>
  <si>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</si>
  <si>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</si>
  <si>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</si>
  <si>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</si>
  <si>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</si>
  <si>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</si>
  <si>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</si>
  <si>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</si>
  <si>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</si>
  <si>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</si>
  <si>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</si>
  <si>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</si>
  <si>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</si>
  <si>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</si>
  <si>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</si>
  <si>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</si>
  <si>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</si>
  <si>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</si>
  <si>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</si>
  <si>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</si>
  <si>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</si>
  <si>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</si>
  <si>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</si>
  <si>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</si>
  <si>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</si>
  <si>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</si>
  <si>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</si>
  <si>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</si>
  <si>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</si>
  <si>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</si>
  <si>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</si>
  <si>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</si>
  <si>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</si>
  <si>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</si>
  <si>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</si>
  <si>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</si>
  <si>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</si>
  <si>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</si>
  <si>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</si>
  <si>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</si>
  <si>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</si>
  <si>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</si>
  <si>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</si>
  <si>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</si>
  <si>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</si>
  <si>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</si>
  <si>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</si>
  <si>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</si>
  <si>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</si>
  <si>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</si>
  <si>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</si>
  <si>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</si>
  <si>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</si>
  <si>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</si>
  <si>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</si>
  <si>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</si>
  <si>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</si>
  <si>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</si>
  <si>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</si>
  <si>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</si>
  <si>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</si>
  <si>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</si>
  <si>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</si>
  <si>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</si>
  <si>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</si>
  <si>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</si>
  <si>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</si>
  <si>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</si>
  <si>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</si>
  <si>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</si>
  <si>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</si>
  <si>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</si>
  <si>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</si>
  <si>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</si>
  <si>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</si>
  <si>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</si>
  <si>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</si>
  <si>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</si>
  <si>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</si>
  <si>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</si>
  <si>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</si>
  <si>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</si>
  <si>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</si>
  <si>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</si>
  <si>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</si>
  <si>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</si>
  <si>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</si>
  <si>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</si>
  <si>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</si>
  <si>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</si>
  <si>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</si>
  <si>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</si>
  <si>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</si>
  <si>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</si>
  <si>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</si>
  <si>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</si>
  <si>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</si>
  <si>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</si>
  <si>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</si>
  <si>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</si>
  <si>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</si>
  <si>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</si>
  <si>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</si>
  <si>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</si>
  <si>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</si>
  <si>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</si>
  <si>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</si>
  <si>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</si>
  <si>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</si>
  <si>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</si>
  <si>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</si>
  <si>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</si>
  <si>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</si>
  <si>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</si>
  <si>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</si>
  <si>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</si>
  <si>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</si>
  <si>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</si>
  <si>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</si>
  <si>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</si>
  <si>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</si>
  <si>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</si>
  <si>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</si>
  <si>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</si>
  <si>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</si>
  <si>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</si>
  <si>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</si>
  <si>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</si>
  <si>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</si>
  <si>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</si>
  <si>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</si>
  <si>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</si>
  <si>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</si>
  <si>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</si>
  <si>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</si>
  <si>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</si>
  <si>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</si>
  <si>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</si>
  <si>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</si>
  <si>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</si>
  <si>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</si>
  <si>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</si>
  <si>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</si>
  <si>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</si>
  <si>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</si>
  <si>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</si>
  <si>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</si>
  <si>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</si>
  <si>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</si>
  <si>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</si>
  <si>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</si>
  <si>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</si>
  <si>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</si>
  <si>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</si>
  <si>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</si>
  <si>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</si>
  <si>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</si>
  <si>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</si>
  <si>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</si>
  <si>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</si>
  <si>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</si>
  <si>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</si>
  <si>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</si>
  <si>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</si>
  <si>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</si>
  <si>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</si>
  <si>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</si>
  <si>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</si>
  <si>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</si>
  <si>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</si>
  <si>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</si>
  <si>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</si>
  <si>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</si>
  <si>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</si>
  <si>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</si>
  <si>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</si>
  <si>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</si>
  <si>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</si>
  <si>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</si>
  <si>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</si>
  <si>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</si>
  <si>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</si>
  <si>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</si>
  <si>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</si>
  <si>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</si>
  <si>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</si>
  <si>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</si>
  <si>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</si>
  <si>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</si>
  <si>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</si>
  <si>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</si>
  <si>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</si>
  <si>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</si>
  <si>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</si>
  <si>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</si>
  <si>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</si>
  <si>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</si>
  <si>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</si>
  <si>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</si>
  <si>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</si>
  <si>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</si>
  <si>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</si>
  <si>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</si>
  <si>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</si>
  <si>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</si>
  <si>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</si>
  <si>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</si>
  <si>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</si>
  <si>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</si>
  <si>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</si>
  <si>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</si>
  <si>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</si>
  <si>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</si>
  <si>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</si>
  <si>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</si>
  <si>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</si>
  <si>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</si>
  <si>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</si>
  <si>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</si>
  <si>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</si>
  <si>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</si>
  <si>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</si>
  <si>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</si>
  <si>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</si>
  <si>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</si>
  <si>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</si>
  <si>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</si>
  <si>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</si>
  <si>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</si>
  <si>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</si>
  <si>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</si>
  <si>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</si>
  <si>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</si>
  <si>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</si>
  <si>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</si>
  <si>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</si>
  <si>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</si>
  <si>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</si>
  <si>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</si>
  <si>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</si>
  <si>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</si>
  <si>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</si>
  <si>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</si>
  <si>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</si>
  <si>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</si>
  <si>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</si>
  <si>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</si>
  <si>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</si>
  <si>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</si>
  <si>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</si>
  <si>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</si>
  <si>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</si>
  <si>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</si>
  <si>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</si>
  <si>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</si>
  <si>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</si>
  <si>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</si>
  <si>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</si>
  <si>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</si>
  <si>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</si>
  <si>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</si>
  <si>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</si>
  <si>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</si>
  <si>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</si>
  <si>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</si>
  <si>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</si>
  <si>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</si>
  <si>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</si>
  <si>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</si>
  <si>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</si>
  <si>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</si>
  <si>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</si>
  <si>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</si>
  <si>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</si>
  <si>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</si>
  <si>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</si>
  <si>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</si>
  <si>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</si>
  <si>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</si>
  <si>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</si>
  <si>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</si>
  <si>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</si>
  <si>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</si>
  <si>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</si>
  <si>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</si>
  <si>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</si>
  <si>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</si>
  <si>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</si>
  <si>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</si>
  <si>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</si>
  <si>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</si>
  <si>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</si>
  <si>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</si>
  <si>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</si>
  <si>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</si>
  <si>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</si>
  <si>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</si>
  <si>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</si>
  <si>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</si>
  <si>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</si>
  <si>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</si>
  <si>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</si>
  <si>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</si>
  <si>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</si>
  <si>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</si>
  <si>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</si>
  <si>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</si>
  <si>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</si>
  <si>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</si>
  <si>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</si>
  <si>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</si>
  <si>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</si>
  <si>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</si>
  <si>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</si>
  <si>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</si>
  <si>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</si>
  <si>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</si>
  <si>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</si>
  <si>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</si>
  <si>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</si>
  <si>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</si>
  <si>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</si>
  <si>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</si>
  <si>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</si>
  <si>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</si>
  <si>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</si>
  <si>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</si>
  <si>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</si>
  <si>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</si>
  <si>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</si>
  <si>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</si>
  <si>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</si>
  <si>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</si>
  <si>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</si>
  <si>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</si>
  <si>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</si>
  <si>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</si>
  <si>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</si>
  <si>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</si>
  <si>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</si>
  <si>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</si>
  <si>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</si>
  <si>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</si>
  <si>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</si>
  <si>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</si>
  <si>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</si>
  <si>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</si>
  <si>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</si>
  <si>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</si>
  <si>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</si>
  <si>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</si>
  <si>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</si>
  <si>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</si>
  <si>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</si>
  <si>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</si>
  <si>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</si>
  <si>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</si>
  <si>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</si>
  <si>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</si>
  <si>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</si>
  <si>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</si>
  <si>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</si>
  <si>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</si>
  <si>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</si>
  <si>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</si>
  <si>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</si>
  <si>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</si>
  <si>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</si>
  <si>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</si>
  <si>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</si>
  <si>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</si>
  <si>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</si>
  <si>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</si>
  <si>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</si>
  <si>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</si>
  <si>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</si>
  <si>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</si>
  <si>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</si>
  <si>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</si>
  <si>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</si>
  <si>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</si>
  <si>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</si>
  <si>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</si>
  <si>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</si>
  <si>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</si>
  <si>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</si>
  <si>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</si>
  <si>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</si>
  <si>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</si>
  <si>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</si>
  <si>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</si>
  <si>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</si>
  <si>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</si>
  <si>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</si>
  <si>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</si>
  <si>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</si>
  <si>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</si>
  <si>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</si>
  <si>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</si>
  <si>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</si>
  <si>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</si>
  <si>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</si>
  <si>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</si>
  <si>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</si>
  <si>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</si>
  <si>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</si>
  <si>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</si>
  <si>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</si>
  <si>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</si>
  <si>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</si>
  <si>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</si>
  <si>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</si>
  <si>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</si>
  <si>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</si>
  <si>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</si>
  <si>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</si>
  <si>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</si>
  <si>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</si>
  <si>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</si>
  <si>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</si>
  <si>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</si>
  <si>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</si>
  <si>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</si>
  <si>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</si>
  <si>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</si>
  <si>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</si>
  <si>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</si>
  <si>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</si>
  <si>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</si>
  <si>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</si>
  <si>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</si>
  <si>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</si>
  <si>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</si>
  <si>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</si>
  <si>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</si>
  <si>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</si>
  <si>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</si>
  <si>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</si>
  <si>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</si>
  <si>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</si>
  <si>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</si>
  <si>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</si>
  <si>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</si>
  <si>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</si>
  <si>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</si>
  <si>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</si>
  <si>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</si>
  <si>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</si>
  <si>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</si>
  <si>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</si>
  <si>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</si>
  <si>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</si>
  <si>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</si>
  <si>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</si>
  <si>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</si>
  <si>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</si>
  <si>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</si>
  <si>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</si>
  <si>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</si>
  <si>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</si>
  <si>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</si>
  <si>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</si>
  <si>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</si>
  <si>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</si>
  <si>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</si>
  <si>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</si>
  <si>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</si>
  <si>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</si>
  <si>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</si>
  <si>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</si>
  <si>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</si>
  <si>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</si>
  <si>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</si>
  <si>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</si>
  <si>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</si>
  <si>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</si>
  <si>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</si>
  <si>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</si>
  <si>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</si>
  <si>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</si>
  <si>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</si>
  <si>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</si>
  <si>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</si>
  <si>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</si>
  <si>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</si>
  <si>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</si>
  <si>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</si>
  <si>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</si>
  <si>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</si>
  <si>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</si>
  <si>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</si>
  <si>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</si>
  <si>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</si>
  <si>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</si>
  <si>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</si>
  <si>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</si>
  <si>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</si>
  <si>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</si>
  <si>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</si>
  <si>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</si>
  <si>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</si>
  <si>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</si>
  <si>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</si>
  <si>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</si>
  <si>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</si>
  <si>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</si>
  <si>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</si>
  <si>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</si>
  <si>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</si>
  <si>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</si>
  <si>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</si>
  <si>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</si>
  <si>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</si>
  <si>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</si>
  <si>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</si>
  <si>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</si>
  <si>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</si>
  <si>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</si>
  <si>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</si>
  <si>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</si>
  <si>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</si>
  <si>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</si>
  <si>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</si>
  <si>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</si>
  <si>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</si>
  <si>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</si>
  <si>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</si>
  <si>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</si>
  <si>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</si>
  <si>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</si>
  <si>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</si>
  <si>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</si>
  <si>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</si>
  <si>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</si>
  <si>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</si>
  <si>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</si>
  <si>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</si>
  <si>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</si>
  <si>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</si>
  <si>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</si>
  <si>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</si>
  <si>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</si>
  <si>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</si>
  <si>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</si>
  <si>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</si>
  <si>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</si>
  <si>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</si>
  <si>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</si>
  <si>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</si>
  <si>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</si>
  <si>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</si>
  <si>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</si>
  <si>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</si>
  <si>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</si>
  <si>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</si>
  <si>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</si>
  <si>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</si>
  <si>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</si>
  <si>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</si>
  <si>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</si>
  <si>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</si>
  <si>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</si>
  <si>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</si>
  <si>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</si>
  <si>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</si>
  <si>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</si>
  <si>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</si>
  <si>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</si>
  <si>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</si>
  <si>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</si>
  <si>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</si>
  <si>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</si>
  <si>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</si>
  <si>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</si>
  <si>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</si>
  <si>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</si>
  <si>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</si>
  <si>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</si>
  <si>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</si>
  <si>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</si>
  <si>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</si>
  <si>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</si>
  <si>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</si>
  <si>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</si>
  <si>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</si>
  <si>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</si>
  <si>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</si>
  <si>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</si>
  <si>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</si>
  <si>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</si>
  <si>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</si>
  <si>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</si>
  <si>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</si>
  <si>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</si>
  <si>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</si>
  <si>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</si>
  <si>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</si>
  <si>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</si>
  <si>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</si>
  <si>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</si>
  <si>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</si>
  <si>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</si>
  <si>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</si>
  <si>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</si>
  <si>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</si>
  <si>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</si>
  <si>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</si>
  <si>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</si>
  <si>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</si>
  <si>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</si>
  <si>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</si>
  <si>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</si>
  <si>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</si>
  <si>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</si>
  <si>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</si>
  <si>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</si>
  <si>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</si>
  <si>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</si>
  <si>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</si>
  <si>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</si>
  <si>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</si>
  <si>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</si>
  <si>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</si>
  <si>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</si>
  <si>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</si>
  <si>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</si>
  <si>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</si>
  <si>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</si>
  <si>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</si>
  <si>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</si>
  <si>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</si>
  <si>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</si>
  <si>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</si>
  <si>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</si>
  <si>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</si>
  <si>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</si>
  <si>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</si>
  <si>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</si>
  <si>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</si>
  <si>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</si>
  <si>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</si>
  <si>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</si>
  <si>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</si>
  <si>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</si>
  <si>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</si>
  <si>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</si>
  <si>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</si>
  <si>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</si>
  <si>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</si>
  <si>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</si>
  <si>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</si>
  <si>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</si>
  <si>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</si>
  <si>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</si>
  <si>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</si>
  <si>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</si>
  <si>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</si>
  <si>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</si>
  <si>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</si>
  <si>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</si>
  <si>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</si>
  <si>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</si>
  <si>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</si>
  <si>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</si>
  <si>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</si>
  <si>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</si>
  <si>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</si>
  <si>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</si>
  <si>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</si>
  <si>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</si>
  <si>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</si>
  <si>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</si>
  <si>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</si>
  <si>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</si>
  <si>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</si>
  <si>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</si>
  <si>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</si>
  <si>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</si>
  <si>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</si>
  <si>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</si>
  <si>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</si>
  <si>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</si>
  <si>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</si>
  <si>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</si>
  <si>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</si>
  <si>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</si>
  <si>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</si>
  <si>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</si>
  <si>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</si>
  <si>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</si>
  <si>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</si>
  <si>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</si>
  <si>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</si>
  <si>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</si>
  <si>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</si>
  <si>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</si>
  <si>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</si>
  <si>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</si>
  <si>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</si>
  <si>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</si>
  <si>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</si>
  <si>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</si>
  <si>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</si>
  <si>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</si>
  <si>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</si>
  <si>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</si>
  <si>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</si>
  <si>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</si>
  <si>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</si>
  <si>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</si>
  <si>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</si>
  <si>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</si>
  <si>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</si>
  <si>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</si>
  <si>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</si>
  <si>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</si>
  <si>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</si>
  <si>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</si>
  <si>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</si>
  <si>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</si>
  <si>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</si>
  <si>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</si>
  <si>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</si>
  <si>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</si>
  <si>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</si>
  <si>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</si>
  <si>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</si>
  <si>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</si>
  <si>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</si>
  <si>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</si>
  <si>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</si>
  <si>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</si>
  <si>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</si>
  <si>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</si>
  <si>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</si>
  <si>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</si>
  <si>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</si>
  <si>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</si>
  <si>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</si>
  <si>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</si>
  <si>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</si>
  <si>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</si>
  <si>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</si>
  <si>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</si>
  <si>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</si>
  <si>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</si>
  <si>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</si>
  <si>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</si>
  <si>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</si>
  <si>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</si>
  <si>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</si>
  <si>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</si>
  <si>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</si>
  <si>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</si>
  <si>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</si>
  <si>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</si>
  <si>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</si>
  <si>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</si>
  <si>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</si>
  <si>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</si>
  <si>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</si>
  <si>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</si>
  <si>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</si>
  <si>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</si>
  <si>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</si>
  <si>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</si>
  <si>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</si>
  <si>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</si>
  <si>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</si>
  <si>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</si>
  <si>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</si>
  <si>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</si>
  <si>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</si>
  <si>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</si>
  <si>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</si>
  <si>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</si>
  <si>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</si>
  <si>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</si>
  <si>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</si>
  <si>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</si>
  <si>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</si>
  <si>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</si>
  <si>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</si>
  <si>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</si>
  <si>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</si>
  <si>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</si>
  <si>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</si>
  <si>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</si>
  <si>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</si>
  <si>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</si>
  <si>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</si>
  <si>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</si>
  <si>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</si>
  <si>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</si>
  <si>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</si>
  <si>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</si>
  <si>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</si>
  <si>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</si>
  <si>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</si>
  <si>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</si>
  <si>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</si>
  <si>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</si>
  <si>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</si>
  <si>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</si>
  <si>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</si>
  <si>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</si>
  <si>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</si>
  <si>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</si>
  <si>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</si>
  <si>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</si>
  <si>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</si>
  <si>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</si>
  <si>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</si>
  <si>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</si>
  <si>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</si>
  <si>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</si>
  <si>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</si>
  <si>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</si>
  <si>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</si>
  <si>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</si>
  <si>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</si>
  <si>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</si>
  <si>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</si>
  <si>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</si>
  <si>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</si>
  <si>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</si>
  <si>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</si>
  <si>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</si>
  <si>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</si>
  <si>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</si>
  <si>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</si>
  <si>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</si>
  <si>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</si>
  <si>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</si>
  <si>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</si>
  <si>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</si>
  <si>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</si>
  <si>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</si>
  <si>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</si>
  <si>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</si>
  <si>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</si>
  <si>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</si>
  <si>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</si>
  <si>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</si>
  <si>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</si>
  <si>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</si>
  <si>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</si>
  <si>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</si>
  <si>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</si>
  <si>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</si>
  <si>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</si>
  <si>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</si>
  <si>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</si>
  <si>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</si>
  <si>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</si>
  <si>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</si>
  <si>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</si>
  <si>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</si>
  <si>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</si>
  <si>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</si>
  <si>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</si>
  <si>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</si>
  <si>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</si>
  <si>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</si>
  <si>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</si>
  <si>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</si>
  <si>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</si>
  <si>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</si>
  <si>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</si>
  <si>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</si>
  <si>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</si>
  <si>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</si>
  <si>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</si>
  <si>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</si>
  <si>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</si>
  <si>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</si>
  <si>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</si>
  <si>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</si>
  <si>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</si>
  <si>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</si>
  <si>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</si>
  <si>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</si>
  <si>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</si>
  <si>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</si>
  <si>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</si>
  <si>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</si>
  <si>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</si>
  <si>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</si>
  <si>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</si>
  <si>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</si>
  <si>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</si>
  <si>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</si>
  <si>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</si>
  <si>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</si>
  <si>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</si>
  <si>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</si>
  <si>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</si>
  <si>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</si>
  <si>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</si>
  <si>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</si>
  <si>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</si>
  <si>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</si>
  <si>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</si>
  <si>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</si>
  <si>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</si>
  <si>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</si>
  <si>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</si>
  <si>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</si>
  <si>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</si>
  <si>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</si>
  <si>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</si>
  <si>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</si>
  <si>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</si>
  <si>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</si>
  <si>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</si>
  <si>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</si>
  <si>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</si>
  <si>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</si>
  <si>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</si>
  <si>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</si>
  <si>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</si>
  <si>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</si>
  <si>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</si>
  <si>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</si>
  <si>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</si>
  <si>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</si>
  <si>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</si>
  <si>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</si>
  <si>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</si>
  <si>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</si>
  <si>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</si>
  <si>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</si>
  <si>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</si>
  <si>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</si>
  <si>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</si>
  <si>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</si>
  <si>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</si>
  <si>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</si>
  <si>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</si>
  <si>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</si>
  <si>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</si>
  <si>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</si>
  <si>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</si>
  <si>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</si>
  <si>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</si>
  <si>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</si>
  <si>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</si>
  <si>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</si>
  <si>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</si>
  <si>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</si>
  <si>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</si>
  <si>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</si>
  <si>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</si>
  <si>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</si>
  <si>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</si>
  <si>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</si>
  <si>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</si>
  <si>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</si>
  <si>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</si>
  <si>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</si>
  <si>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</si>
  <si>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</si>
  <si>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</si>
  <si>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</si>
  <si>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</si>
  <si>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</si>
  <si>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</si>
  <si>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</si>
  <si>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</si>
  <si>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</si>
  <si>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</si>
  <si>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</si>
  <si>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</si>
  <si>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</si>
  <si>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</si>
  <si>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</si>
  <si>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</si>
  <si>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</si>
  <si>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</si>
  <si>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</si>
  <si>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</si>
  <si>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</si>
  <si>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</si>
  <si>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</si>
  <si>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</si>
  <si>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</si>
  <si>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</si>
  <si>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</si>
  <si>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</si>
  <si>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</si>
  <si>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</si>
  <si>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</si>
  <si>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</si>
  <si>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</si>
  <si>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</si>
  <si>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</si>
  <si>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</si>
  <si>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</si>
  <si>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</si>
  <si>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</si>
  <si>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</si>
  <si>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</si>
  <si>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</si>
  <si>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</si>
  <si>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</si>
  <si>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</si>
  <si>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</si>
  <si>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</si>
  <si>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</si>
  <si>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</si>
  <si>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</si>
  <si>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</si>
  <si>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</si>
  <si>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</si>
  <si>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</si>
  <si>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</si>
  <si>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</si>
  <si>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</si>
  <si>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</si>
  <si>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</si>
  <si>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</si>
  <si>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</si>
  <si>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</si>
  <si>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</si>
  <si>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</si>
  <si>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</si>
  <si>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</si>
  <si>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</si>
  <si>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</si>
  <si>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</si>
  <si>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</si>
  <si>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</si>
  <si>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</si>
  <si>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</si>
  <si>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</si>
  <si>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</si>
  <si>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</si>
  <si>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</si>
  <si>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</si>
  <si>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</si>
  <si>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</si>
  <si>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</si>
  <si>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</si>
  <si>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</si>
  <si>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</si>
  <si>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</si>
  <si>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</si>
  <si>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</si>
  <si>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</si>
  <si>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</si>
  <si>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</si>
  <si>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</si>
  <si>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</si>
  <si>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</si>
  <si>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</si>
  <si>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</si>
  <si>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</si>
  <si>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</si>
  <si>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</si>
  <si>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</si>
  <si>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</si>
  <si>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</si>
  <si>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</si>
  <si>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</si>
  <si>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</si>
  <si>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</si>
  <si>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</si>
  <si>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</si>
  <si>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</si>
  <si>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</si>
  <si>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</si>
  <si>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</si>
  <si>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</si>
  <si>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</si>
  <si>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</si>
  <si>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</si>
  <si>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</si>
  <si>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</si>
  <si>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</si>
  <si>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</si>
  <si>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</si>
  <si>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</si>
  <si>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</si>
  <si>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</si>
  <si>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</si>
  <si>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</si>
  <si>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</si>
  <si>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</si>
  <si>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</si>
  <si>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</si>
  <si>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</si>
  <si>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</si>
  <si>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</si>
  <si>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</si>
  <si>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</si>
  <si>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</si>
  <si>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</si>
  <si>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</si>
  <si>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</si>
  <si>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</si>
  <si>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</si>
  <si>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</si>
  <si>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</si>
  <si>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</si>
  <si>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</si>
  <si>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</si>
  <si>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</si>
  <si>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</si>
  <si>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</si>
  <si>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</si>
  <si>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</si>
  <si>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</si>
  <si>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</si>
  <si>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</si>
  <si>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</si>
  <si>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</si>
  <si>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</si>
  <si>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</si>
  <si>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</si>
  <si>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</si>
  <si>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</si>
  <si>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</si>
  <si>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</si>
  <si>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</si>
  <si>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</si>
  <si>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</si>
  <si>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</si>
  <si>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</si>
  <si>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</si>
  <si>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</si>
  <si>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</si>
  <si>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</si>
  <si>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</si>
  <si>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</si>
  <si>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</si>
  <si>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</si>
  <si>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</si>
  <si>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</si>
  <si>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</si>
  <si>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</si>
  <si>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</si>
  <si>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</si>
  <si>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</si>
  <si>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</si>
  <si>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</si>
  <si>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</si>
  <si>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</si>
  <si>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</si>
  <si>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</si>
  <si>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</si>
  <si>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</si>
  <si>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</si>
  <si>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</si>
  <si>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</si>
  <si>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</si>
  <si>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</si>
  <si>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</si>
  <si>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</si>
  <si>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</si>
  <si>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</si>
  <si>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</si>
  <si>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</si>
  <si>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</si>
  <si>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</si>
  <si>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</si>
  <si>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</si>
  <si>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</si>
  <si>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</si>
  <si>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</si>
  <si>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</si>
  <si>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</si>
  <si>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</si>
  <si>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</si>
  <si>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</si>
  <si>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</si>
  <si>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</si>
  <si>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</si>
  <si>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</si>
  <si>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</si>
  <si>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</si>
  <si>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</si>
  <si>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</si>
  <si>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</si>
  <si>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</si>
  <si>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</si>
  <si>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</si>
  <si>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</si>
  <si>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</si>
  <si>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</si>
  <si>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</si>
  <si>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</si>
  <si>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</si>
  <si>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</si>
  <si>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</si>
  <si>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</si>
  <si>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</si>
  <si>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</si>
  <si>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</si>
  <si>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</si>
  <si>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</si>
  <si>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</si>
  <si>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</si>
  <si>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</si>
  <si>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</si>
  <si>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</si>
  <si>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</si>
  <si>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</si>
  <si>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</si>
  <si>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</si>
  <si>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</si>
  <si>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</si>
  <si>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</si>
  <si>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</si>
  <si>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</si>
  <si>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</si>
  <si>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</si>
  <si>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</si>
  <si>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</si>
  <si>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</si>
  <si>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</si>
  <si>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</si>
  <si>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</si>
  <si>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</si>
  <si>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</si>
  <si>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</si>
  <si>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</si>
  <si>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</si>
  <si>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</si>
  <si>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</si>
  <si>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</si>
  <si>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</si>
  <si>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</si>
  <si>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</si>
  <si>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</si>
  <si>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</si>
  <si>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</si>
  <si>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</si>
  <si>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</si>
  <si>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</si>
  <si>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</si>
  <si>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</si>
  <si>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</si>
  <si>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</si>
  <si>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</si>
  <si>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</si>
  <si>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</si>
  <si>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</si>
  <si>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</si>
  <si>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</si>
  <si>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</si>
  <si>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</si>
  <si>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</si>
  <si>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</si>
  <si>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</si>
  <si>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</si>
  <si>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</si>
  <si>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</si>
  <si>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</si>
  <si>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</si>
  <si>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</si>
  <si>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</si>
  <si>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</si>
  <si>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</si>
  <si>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</si>
  <si>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</si>
  <si>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</si>
  <si>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</si>
  <si>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</si>
  <si>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</si>
  <si>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</si>
  <si>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</si>
  <si>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</si>
  <si>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</si>
  <si>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</si>
  <si>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</si>
  <si>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</si>
  <si>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</si>
  <si>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</si>
  <si>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</si>
  <si>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</si>
  <si>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</si>
  <si>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</si>
  <si>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</si>
  <si>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</si>
  <si>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</si>
  <si>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</si>
  <si>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</si>
  <si>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</si>
  <si>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</si>
  <si>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</si>
  <si>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</si>
  <si>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</si>
  <si>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</si>
  <si>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</si>
  <si>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</si>
  <si>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</si>
  <si>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</si>
  <si>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</si>
  <si>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</si>
  <si>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</si>
  <si>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</si>
  <si>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</si>
  <si>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</si>
  <si>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</si>
  <si>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</si>
  <si>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</si>
  <si>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</si>
  <si>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</si>
  <si>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</si>
  <si>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</si>
  <si>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</si>
  <si>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</si>
  <si>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</si>
  <si>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</si>
  <si>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</si>
  <si>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</si>
  <si>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</si>
  <si>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</si>
  <si>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</si>
  <si>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</si>
  <si>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</si>
  <si>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</si>
  <si>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</si>
  <si>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</si>
  <si>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</si>
  <si>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</si>
  <si>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</si>
  <si>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</si>
  <si>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</si>
  <si>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</si>
  <si>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</si>
  <si>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</si>
  <si>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</si>
  <si>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</si>
  <si>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</si>
  <si>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</si>
  <si>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</si>
  <si>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</si>
  <si>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</si>
  <si>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</si>
  <si>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</si>
  <si>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</si>
  <si>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</si>
  <si>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</si>
  <si>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</si>
  <si>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</si>
  <si>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</si>
  <si>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</si>
  <si>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</si>
  <si>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</si>
  <si>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</si>
  <si>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</si>
  <si>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</si>
  <si>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</si>
  <si>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</si>
  <si>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</si>
  <si>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</si>
  <si>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</si>
  <si>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</si>
  <si>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</si>
  <si>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</si>
  <si>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</si>
  <si>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</si>
  <si>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</si>
  <si>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</si>
  <si>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</si>
  <si>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</si>
  <si>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</si>
  <si>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</si>
  <si>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</si>
  <si>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</si>
  <si>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</si>
  <si>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</si>
  <si>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</si>
  <si>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</si>
  <si>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</si>
  <si>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</si>
  <si>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</si>
  <si>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</si>
  <si>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</si>
  <si>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</si>
  <si>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</si>
  <si>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</si>
  <si>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</si>
  <si>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</si>
  <si>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</si>
  <si>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</si>
  <si>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</si>
  <si>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</si>
  <si>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</si>
  <si>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</si>
  <si>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</si>
  <si>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</si>
  <si>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</si>
  <si>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</si>
  <si>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</si>
  <si>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</si>
  <si>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</si>
  <si>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</si>
  <si>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</si>
  <si>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</si>
  <si>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</si>
  <si>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</si>
  <si>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</si>
  <si>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</si>
  <si>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</si>
  <si>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</si>
  <si>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</si>
  <si>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</si>
  <si>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</si>
  <si>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</si>
  <si>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</si>
  <si>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</si>
  <si>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</si>
  <si>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</si>
  <si>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</si>
  <si>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</si>
  <si>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</si>
  <si>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</si>
  <si>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</si>
  <si>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</si>
  <si>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</si>
  <si>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</si>
  <si>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</si>
  <si>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</si>
  <si>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</si>
  <si>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</si>
  <si>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</si>
  <si>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</si>
  <si>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</si>
  <si>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</si>
  <si>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</si>
  <si>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</si>
  <si>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</si>
  <si>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</si>
  <si>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</si>
  <si>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</si>
  <si>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</si>
  <si>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</si>
  <si>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</si>
  <si>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</si>
  <si>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</si>
  <si>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</si>
  <si>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</si>
  <si>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</si>
  <si>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</si>
  <si>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</si>
  <si>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</si>
  <si>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</si>
  <si>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</si>
  <si>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</si>
  <si>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</si>
  <si>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</si>
  <si>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</si>
  <si>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</si>
  <si>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</si>
  <si>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</si>
  <si>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</si>
  <si>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</si>
  <si>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</si>
  <si>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</si>
  <si>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</si>
  <si>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</si>
  <si>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</si>
  <si>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</si>
  <si>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</si>
  <si>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</si>
  <si>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</si>
  <si>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</si>
  <si>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</si>
  <si>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</si>
  <si>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</si>
  <si>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</si>
  <si>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</si>
  <si>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</si>
  <si>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</si>
  <si>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</si>
  <si>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</si>
  <si>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</si>
  <si>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</si>
  <si>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</si>
  <si>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</si>
  <si>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</si>
  <si>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</si>
  <si>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</si>
  <si>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</si>
  <si>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</si>
  <si>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</si>
  <si>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</si>
  <si>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</si>
  <si>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</si>
  <si>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</si>
  <si>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</si>
  <si>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</si>
  <si>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</si>
  <si>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</si>
  <si>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</si>
  <si>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</si>
  <si>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</si>
  <si>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</si>
  <si>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</si>
  <si>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</si>
  <si>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</si>
  <si>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</si>
  <si>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</si>
  <si>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</si>
  <si>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</si>
  <si>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</si>
  <si>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</si>
  <si>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</si>
  <si>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</si>
  <si>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</si>
  <si>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</si>
  <si>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</si>
  <si>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</si>
  <si>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</si>
  <si>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</si>
  <si>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</si>
  <si>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</si>
  <si>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</si>
  <si>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</si>
  <si>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</si>
  <si>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</si>
  <si>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</si>
  <si>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</si>
  <si>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</si>
  <si>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</si>
  <si>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</si>
  <si>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</si>
  <si>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</si>
  <si>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</si>
  <si>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</si>
  <si>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</si>
  <si>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</si>
  <si>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</si>
  <si>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</si>
  <si>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</si>
  <si>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</si>
  <si>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</si>
  <si>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</si>
  <si>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</si>
  <si>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</si>
  <si>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</si>
  <si>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</si>
  <si>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</si>
  <si>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</si>
  <si>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</si>
  <si>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</si>
  <si>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</si>
  <si>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</si>
  <si>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</si>
  <si>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</si>
  <si>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</si>
  <si>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</si>
  <si>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</si>
  <si>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</si>
  <si>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</si>
  <si>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</si>
  <si>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</si>
  <si>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</si>
  <si>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</si>
  <si>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</si>
  <si>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</si>
  <si>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</si>
  <si>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</si>
  <si>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</si>
  <si>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</si>
  <si>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</si>
  <si>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</si>
  <si>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</si>
  <si>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</si>
  <si>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</si>
  <si>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</si>
  <si>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</si>
  <si>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</si>
  <si>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</si>
  <si>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</si>
  <si>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</si>
  <si>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</si>
  <si>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</si>
  <si>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</si>
  <si>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</si>
  <si>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</si>
  <si>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</si>
  <si>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</si>
  <si>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</si>
  <si>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</si>
  <si>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</si>
  <si>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</si>
  <si>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</si>
  <si>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</si>
  <si>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</si>
  <si>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</si>
  <si>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</si>
  <si>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</si>
  <si>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</si>
  <si>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</si>
  <si>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</si>
  <si>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</si>
  <si>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</si>
  <si>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</si>
  <si>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</si>
  <si>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</si>
  <si>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</si>
  <si>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</si>
  <si>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</si>
  <si>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</si>
  <si>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</si>
  <si>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</si>
  <si>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</si>
  <si>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</si>
  <si>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</si>
  <si>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</si>
  <si>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</si>
  <si>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</si>
  <si>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</si>
  <si>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</si>
  <si>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</si>
  <si>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</si>
  <si>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</si>
  <si>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</si>
  <si>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</si>
  <si>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</si>
  <si>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</si>
  <si>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</si>
  <si>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</si>
  <si>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</si>
  <si>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</si>
  <si>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</si>
  <si>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</si>
  <si>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</si>
  <si>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</si>
  <si>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</si>
  <si>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</si>
  <si>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</si>
  <si>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</si>
  <si>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</si>
  <si>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</si>
  <si>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</si>
  <si>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</si>
  <si>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</si>
  <si>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</si>
  <si>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</si>
  <si>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</si>
  <si>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</si>
  <si>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</si>
  <si>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</si>
  <si>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</si>
  <si>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</si>
  <si>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</si>
  <si>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</si>
  <si>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</si>
  <si>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</si>
  <si>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</si>
  <si>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</si>
  <si>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</si>
  <si>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</si>
  <si>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</si>
  <si>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</si>
  <si>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</si>
  <si>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</si>
  <si>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</si>
  <si>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</si>
  <si>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</si>
  <si>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</si>
  <si>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</si>
  <si>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</si>
  <si>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</si>
  <si>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</si>
  <si>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</si>
  <si>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</si>
  <si>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</si>
  <si>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</si>
  <si>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</si>
  <si>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</si>
  <si>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</si>
  <si>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</si>
  <si>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</si>
  <si>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</si>
  <si>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</si>
  <si>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</si>
  <si>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</si>
  <si>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</si>
  <si>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</si>
  <si>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</si>
  <si>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</si>
  <si>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</si>
  <si>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</si>
  <si>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</si>
  <si>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</si>
  <si>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</si>
  <si>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</si>
  <si>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</si>
  <si>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</si>
  <si>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</si>
  <si>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</si>
  <si>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</si>
  <si>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</si>
  <si>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</si>
  <si>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</si>
  <si>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</si>
  <si>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</si>
  <si>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</si>
  <si>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</si>
  <si>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</si>
  <si>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</si>
  <si>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</si>
  <si>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</si>
  <si>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</si>
  <si>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</si>
  <si>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</si>
  <si>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</si>
  <si>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</si>
  <si>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</si>
  <si>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</si>
  <si>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</si>
  <si>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</si>
  <si>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</si>
  <si>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</si>
  <si>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</si>
  <si>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</si>
  <si>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</si>
  <si>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</si>
  <si>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</si>
  <si>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</si>
  <si>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</si>
  <si>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</si>
  <si>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</si>
  <si>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</si>
  <si>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</si>
  <si>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</si>
  <si>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</si>
  <si>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</si>
  <si>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</si>
  <si>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</si>
  <si>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</si>
  <si>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</si>
  <si>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</si>
  <si>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</si>
  <si>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</si>
  <si>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</si>
  <si>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</si>
  <si>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</si>
  <si>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</si>
  <si>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</si>
  <si>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</si>
  <si>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</si>
  <si>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</si>
  <si>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</si>
  <si>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</si>
  <si>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</si>
  <si>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</si>
  <si>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</si>
  <si>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</si>
  <si>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</si>
  <si>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</si>
  <si>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</si>
  <si>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</si>
  <si>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</si>
  <si>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</si>
  <si>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</si>
  <si>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</si>
  <si>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</si>
  <si>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</si>
  <si>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</si>
  <si>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</si>
  <si>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</si>
  <si>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</si>
  <si>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</si>
  <si>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</si>
  <si>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</si>
  <si>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</si>
  <si>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</si>
  <si>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</si>
  <si>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</si>
  <si>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</si>
  <si>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</si>
  <si>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</si>
  <si>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</si>
  <si>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</si>
  <si>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</si>
  <si>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</si>
  <si>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</si>
  <si>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</si>
  <si>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</si>
  <si>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</si>
  <si>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</si>
  <si>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</si>
  <si>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</si>
  <si>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</si>
  <si>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</si>
  <si>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</si>
  <si>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</si>
  <si>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</si>
  <si>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</si>
  <si>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</si>
  <si>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</si>
  <si>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</si>
  <si>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</si>
  <si>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</si>
  <si>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</si>
  <si>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</si>
  <si>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</si>
  <si>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</si>
  <si>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</si>
  <si>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</si>
  <si>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</si>
  <si>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</si>
  <si>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</si>
  <si>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</si>
  <si>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</si>
  <si>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</si>
  <si>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</si>
  <si>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</si>
  <si>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</si>
  <si>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</si>
  <si>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</si>
  <si>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</si>
  <si>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</si>
  <si>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</si>
  <si>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</si>
  <si>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</si>
  <si>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</si>
  <si>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</si>
  <si>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</si>
  <si>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</si>
  <si>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</si>
  <si>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</si>
  <si>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</si>
  <si>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</si>
  <si>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</si>
  <si>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</si>
  <si>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</si>
  <si>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</si>
  <si>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</si>
  <si>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</si>
  <si>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</si>
  <si>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</si>
  <si>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</si>
  <si>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</si>
  <si>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</si>
  <si>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</si>
  <si>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</si>
  <si>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</si>
  <si>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</si>
  <si>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</si>
  <si>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</si>
  <si>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</si>
  <si>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</si>
  <si>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</si>
  <si>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</si>
  <si>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</si>
  <si>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</si>
  <si>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</si>
  <si>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</si>
  <si>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</si>
  <si>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</si>
  <si>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</si>
  <si>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</si>
  <si>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</si>
  <si>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</si>
  <si>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</si>
  <si>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</si>
  <si>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</si>
  <si>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</si>
  <si>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</si>
  <si>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</si>
  <si>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</si>
  <si>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</si>
  <si>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</si>
  <si>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</si>
  <si>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</si>
  <si>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</si>
  <si>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</si>
  <si>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</si>
  <si>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</si>
  <si>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</si>
  <si>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</si>
  <si>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</si>
  <si>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</si>
  <si>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</si>
  <si>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</si>
  <si>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</si>
  <si>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</si>
  <si>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</si>
  <si>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</si>
  <si>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</si>
  <si>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</si>
  <si>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</si>
  <si>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</si>
  <si>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</si>
  <si>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</si>
  <si>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</si>
  <si>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</si>
  <si>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</si>
  <si>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</si>
  <si>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</si>
  <si>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</si>
  <si>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</si>
  <si>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</si>
  <si>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</si>
  <si>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</si>
  <si>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</si>
  <si>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</si>
  <si>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</si>
  <si>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</si>
  <si>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</si>
  <si>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</si>
  <si>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</si>
  <si>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</si>
  <si>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</si>
  <si>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</si>
  <si>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</si>
  <si>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</si>
  <si>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</si>
  <si>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</si>
  <si>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</si>
  <si>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</si>
  <si>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</si>
  <si>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</si>
  <si>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</si>
  <si>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</si>
  <si>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</si>
  <si>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</si>
  <si>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</si>
  <si>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</si>
  <si>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</si>
  <si>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</si>
  <si>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</si>
  <si>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</si>
  <si>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</si>
  <si>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</si>
  <si>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</si>
  <si>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</si>
  <si>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</si>
  <si>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</si>
  <si>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</si>
  <si>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</si>
  <si>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</si>
  <si>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</si>
  <si>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</si>
  <si>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</si>
  <si>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</si>
  <si>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</si>
  <si>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</si>
  <si>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</si>
  <si>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</si>
  <si>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</si>
  <si>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</si>
  <si>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</si>
  <si>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</si>
  <si>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</si>
  <si>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</si>
  <si>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</si>
  <si>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</si>
  <si>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</si>
  <si>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</si>
  <si>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</si>
  <si>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</si>
  <si>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</si>
  <si>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</si>
  <si>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</si>
  <si>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</si>
  <si>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</si>
  <si>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</si>
  <si>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</si>
  <si>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</si>
  <si>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</si>
  <si>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</si>
  <si>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</si>
  <si>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</si>
  <si>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</si>
  <si>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</si>
  <si>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</si>
  <si>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</si>
  <si>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</si>
  <si>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</si>
  <si>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</si>
  <si>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</si>
  <si>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</si>
  <si>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</si>
  <si>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</si>
  <si>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</si>
  <si>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</si>
  <si>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</si>
  <si>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</si>
  <si>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</si>
  <si>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</si>
  <si>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</si>
  <si>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</si>
  <si>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</si>
  <si>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</si>
  <si>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</si>
  <si>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</si>
  <si>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</si>
  <si>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</si>
  <si>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</si>
  <si>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</si>
  <si>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</si>
  <si>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</si>
  <si>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</si>
  <si>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</si>
  <si>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</si>
  <si>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</si>
  <si>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</si>
  <si>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</si>
  <si>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</si>
  <si>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</si>
  <si>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</si>
  <si>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</si>
  <si>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</si>
  <si>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</si>
  <si>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</si>
  <si>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</si>
  <si>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</si>
  <si>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</si>
  <si>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</si>
  <si>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</si>
  <si>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</si>
  <si>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</si>
  <si>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</si>
  <si>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</si>
  <si>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</si>
  <si>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</si>
  <si>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</si>
  <si>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</si>
  <si>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</si>
  <si>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</si>
  <si>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</si>
  <si>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</si>
  <si>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</si>
  <si>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</si>
  <si>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</si>
  <si>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</si>
  <si>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</si>
  <si>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</si>
  <si>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</si>
  <si>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</si>
  <si>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</si>
  <si>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</si>
  <si>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</si>
  <si>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</si>
  <si>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</si>
  <si>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</si>
  <si>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</si>
  <si>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</si>
  <si>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</si>
  <si>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</si>
  <si>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</si>
  <si>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</si>
  <si>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</si>
  <si>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</si>
  <si>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</si>
  <si>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</si>
  <si>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</si>
  <si>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</si>
  <si>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</si>
  <si>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</si>
  <si>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</si>
  <si>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</si>
  <si>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</si>
  <si>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</si>
  <si>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</si>
  <si>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</si>
  <si>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</si>
  <si>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</si>
  <si>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</si>
  <si>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</si>
  <si>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</si>
  <si>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</si>
  <si>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</si>
  <si>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</si>
  <si>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</si>
  <si>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</si>
  <si>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</si>
  <si>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</si>
  <si>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</si>
  <si>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</si>
  <si>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</si>
  <si>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</si>
  <si>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</si>
  <si>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</si>
  <si>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</si>
  <si>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</si>
  <si>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</si>
  <si>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</si>
  <si>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</si>
  <si>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</si>
  <si>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</si>
  <si>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</si>
  <si>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</si>
  <si>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</si>
  <si>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</si>
  <si>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</si>
  <si>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</si>
  <si>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</si>
  <si>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</si>
  <si>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</si>
  <si>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</si>
  <si>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</si>
  <si>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</si>
  <si>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</si>
  <si>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</si>
  <si>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</si>
  <si>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</si>
  <si>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</si>
  <si>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</si>
  <si>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</si>
  <si>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</si>
  <si>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</si>
  <si>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</si>
  <si>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</si>
  <si>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</si>
  <si>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</si>
  <si>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</si>
  <si>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</si>
  <si>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</si>
  <si>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</si>
  <si>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</si>
  <si>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</si>
  <si>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</si>
  <si>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</si>
  <si>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</si>
  <si>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</si>
  <si>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</si>
  <si>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</si>
  <si>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</si>
  <si>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</si>
  <si>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</si>
  <si>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</si>
  <si>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</si>
  <si>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</si>
  <si>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</si>
  <si>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</si>
  <si>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</si>
  <si>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</si>
  <si>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</si>
  <si>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</si>
  <si>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</si>
  <si>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</si>
  <si>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</si>
  <si>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</si>
  <si>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</si>
  <si>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</si>
  <si>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</si>
  <si>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</si>
  <si>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</si>
  <si>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</si>
  <si>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</si>
  <si>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</si>
  <si>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</si>
  <si>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</si>
  <si>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</si>
  <si>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</si>
  <si>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</si>
  <si>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</si>
  <si>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</si>
  <si>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</si>
  <si>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</si>
  <si>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</si>
  <si>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</si>
  <si>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</si>
  <si>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</si>
  <si>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</si>
  <si>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</si>
  <si>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</si>
  <si>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</si>
  <si>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</si>
  <si>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</si>
  <si>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</si>
  <si>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</si>
  <si>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</si>
  <si>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</si>
  <si>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</si>
  <si>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</si>
  <si>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</si>
  <si>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</si>
  <si>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</si>
  <si>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</si>
  <si>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</si>
  <si>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</si>
  <si>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</si>
  <si>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</si>
  <si>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</si>
  <si>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</si>
  <si>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</si>
  <si>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</si>
  <si>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</si>
  <si>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</si>
  <si>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</si>
  <si>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</si>
  <si>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</si>
  <si>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</si>
  <si>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</si>
  <si>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</si>
  <si>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</si>
  <si>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</si>
  <si>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</si>
  <si>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</si>
  <si>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</si>
  <si>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</si>
  <si>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</si>
  <si>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</si>
  <si>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</si>
  <si>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</si>
  <si>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</si>
  <si>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</si>
  <si>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</si>
  <si>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</si>
  <si>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</si>
  <si>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</si>
  <si>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</si>
  <si>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</si>
  <si>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</si>
  <si>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</si>
  <si>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</si>
  <si>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</si>
  <si>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</si>
  <si>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</si>
  <si>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</si>
  <si>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</si>
  <si>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</si>
  <si>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</si>
  <si>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</si>
  <si>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</si>
  <si>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</si>
  <si>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</si>
  <si>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</si>
  <si>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</si>
  <si>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</si>
  <si>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</si>
  <si>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</si>
  <si>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</si>
  <si>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</si>
  <si>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</si>
  <si>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</si>
  <si>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</si>
  <si>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</si>
  <si>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</si>
  <si>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</si>
  <si>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</si>
  <si>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</si>
  <si>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</si>
  <si>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</si>
  <si>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</si>
  <si>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</si>
  <si>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</si>
  <si>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</si>
  <si>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</si>
  <si>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</si>
  <si>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</si>
  <si>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</si>
  <si>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</si>
  <si>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</si>
  <si>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</si>
  <si>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</si>
  <si>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</si>
  <si>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</si>
  <si>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</si>
  <si>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</si>
  <si>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</si>
  <si>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</si>
  <si>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</si>
  <si>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</si>
  <si>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</si>
  <si>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</si>
  <si>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</si>
  <si>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</si>
  <si>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</si>
  <si>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</si>
  <si>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</si>
  <si>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</si>
  <si>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</si>
  <si>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</si>
  <si>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</si>
  <si>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</si>
  <si>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</si>
  <si>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</si>
  <si>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</si>
  <si>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</si>
  <si>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</si>
  <si>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</si>
  <si>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</si>
  <si>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</si>
  <si>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</si>
  <si>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</si>
  <si>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</si>
  <si>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</si>
  <si>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</si>
  <si>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</si>
  <si>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</si>
  <si>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</si>
  <si>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</si>
  <si>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</si>
  <si>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</si>
  <si>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</si>
  <si>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</si>
  <si>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</si>
  <si>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</si>
  <si>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</si>
  <si>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</si>
  <si>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</si>
  <si>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</si>
  <si>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</si>
  <si>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</si>
  <si>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</si>
  <si>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</si>
  <si>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</si>
  <si>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</si>
  <si>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</si>
  <si>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</si>
  <si>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</si>
  <si>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</si>
  <si>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</si>
  <si>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</si>
  <si>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</si>
  <si>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</si>
  <si>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</si>
  <si>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</si>
  <si>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</si>
  <si>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</si>
  <si>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</si>
  <si>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</si>
  <si>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</si>
  <si>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</si>
  <si>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</si>
  <si>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</si>
  <si>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</si>
  <si>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</si>
  <si>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</si>
  <si>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</si>
  <si>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</si>
  <si>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</si>
  <si>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</si>
  <si>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</si>
  <si>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</si>
  <si>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</si>
  <si>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</si>
  <si>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</si>
  <si>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</si>
  <si>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</si>
  <si>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</si>
  <si>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</si>
  <si>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</si>
  <si>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</si>
  <si>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</si>
  <si>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</si>
  <si>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</si>
  <si>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</si>
  <si>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</si>
  <si>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</si>
  <si>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</si>
  <si>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</si>
  <si>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</si>
  <si>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</si>
  <si>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</si>
  <si>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</si>
  <si>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</si>
  <si>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</si>
  <si>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</si>
  <si>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</si>
  <si>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</si>
  <si>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</si>
  <si>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</si>
  <si>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</si>
  <si>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</si>
  <si>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</si>
  <si>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</si>
  <si>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</si>
  <si>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</si>
  <si>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</si>
  <si>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</si>
  <si>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</si>
  <si>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</si>
  <si>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</si>
  <si>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</si>
  <si>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</si>
  <si>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</si>
  <si>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</si>
  <si>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</si>
  <si>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</si>
  <si>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</si>
  <si>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</si>
  <si>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</si>
  <si>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</si>
  <si>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</si>
  <si>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</si>
  <si>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</si>
  <si>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</si>
  <si>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</si>
  <si>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</si>
  <si>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</si>
  <si>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</si>
  <si>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</si>
  <si>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</si>
  <si>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</si>
  <si>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</si>
  <si>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</si>
  <si>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</si>
  <si>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</si>
  <si>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</si>
  <si>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</si>
  <si>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</si>
  <si>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</si>
  <si>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</si>
  <si>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</si>
  <si>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</si>
  <si>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</si>
  <si>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</si>
  <si>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</si>
  <si>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</si>
  <si>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</si>
  <si>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</si>
  <si>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</si>
  <si>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</si>
  <si>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</si>
  <si>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</si>
  <si>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</si>
  <si>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</si>
  <si>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</si>
  <si>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</si>
  <si>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</si>
  <si>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</si>
  <si>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</si>
  <si>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</si>
  <si>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</si>
  <si>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</si>
  <si>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</si>
  <si>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</si>
  <si>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</si>
  <si>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</si>
  <si>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</si>
  <si>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</si>
  <si>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</si>
  <si>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</si>
  <si>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</si>
  <si>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</si>
  <si>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</si>
  <si>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</si>
  <si>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</si>
  <si>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</si>
  <si>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</si>
  <si>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</si>
  <si>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</si>
  <si>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</si>
  <si>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</si>
  <si>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</si>
  <si>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</si>
  <si>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</si>
  <si>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</si>
  <si>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</si>
  <si>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</si>
  <si>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</si>
  <si>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</si>
  <si>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</si>
  <si>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</si>
  <si>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</si>
  <si>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</si>
  <si>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</si>
  <si>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</si>
  <si>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</si>
  <si>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</si>
  <si>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</si>
  <si>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</si>
  <si>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</si>
  <si>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</si>
  <si>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</si>
  <si>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</si>
  <si>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</si>
  <si>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</si>
  <si>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</si>
  <si>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</si>
  <si>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</si>
  <si>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</si>
  <si>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</si>
  <si>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</si>
  <si>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</si>
  <si>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</si>
  <si>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</si>
  <si>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</si>
  <si>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</si>
  <si>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</si>
  <si>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</si>
  <si>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</si>
  <si>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</si>
  <si>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</si>
  <si>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</si>
  <si>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</si>
  <si>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</si>
  <si>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</si>
  <si>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</si>
  <si>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</si>
  <si>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</si>
  <si>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</si>
  <si>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</si>
  <si>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</si>
  <si>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</si>
  <si>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</si>
  <si>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</si>
  <si>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</si>
  <si>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</si>
  <si>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</si>
  <si>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</si>
  <si>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</si>
  <si>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</si>
  <si>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</si>
  <si>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</si>
  <si>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</si>
  <si>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</si>
  <si>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</si>
  <si>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</si>
  <si>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</si>
  <si>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</si>
  <si>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</si>
  <si>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</si>
  <si>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</si>
  <si>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</si>
  <si>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</si>
  <si>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</si>
  <si>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</si>
  <si>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</si>
  <si>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</si>
  <si>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</si>
  <si>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</si>
  <si>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</si>
  <si>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</si>
  <si>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</si>
  <si>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</si>
  <si>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</si>
  <si>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</si>
  <si>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</si>
  <si>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</si>
  <si>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</si>
  <si>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</si>
  <si>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</si>
  <si>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</si>
  <si>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</si>
  <si>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</si>
  <si>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</si>
  <si>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</si>
  <si>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</si>
  <si>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</si>
  <si>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</si>
  <si>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</si>
  <si>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</si>
  <si>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</si>
  <si>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</si>
  <si>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</si>
  <si>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</si>
  <si>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</si>
  <si>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</si>
  <si>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</si>
  <si>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</si>
  <si>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</si>
  <si>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</si>
  <si>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</si>
  <si>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</si>
  <si>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</si>
  <si>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</si>
  <si>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</si>
  <si>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</si>
  <si>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</si>
  <si>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</si>
  <si>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</si>
  <si>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</si>
  <si>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</si>
  <si>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</si>
  <si>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</si>
  <si>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</si>
  <si>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</si>
  <si>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</si>
  <si>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</si>
  <si>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</si>
  <si>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</si>
  <si>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</si>
  <si>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</si>
  <si>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</si>
  <si>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</si>
  <si>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</si>
  <si>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</si>
  <si>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</si>
  <si>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</si>
  <si>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</si>
  <si>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</si>
  <si>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</si>
  <si>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</si>
  <si>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</si>
  <si>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</si>
  <si>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</si>
  <si>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</si>
  <si>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</si>
  <si>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</si>
  <si>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</si>
  <si>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</si>
  <si>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</si>
  <si>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</si>
  <si>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</si>
  <si>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</si>
  <si>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</si>
  <si>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</si>
  <si>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</si>
  <si>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</si>
  <si>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</si>
  <si>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</si>
  <si>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</si>
  <si>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</si>
  <si>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</si>
  <si>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</si>
  <si>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</si>
  <si>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</si>
  <si>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</si>
  <si>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</si>
  <si>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</si>
  <si>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</si>
  <si>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</si>
  <si>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</si>
  <si>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</si>
  <si>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</si>
  <si>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</si>
  <si>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</si>
  <si>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</si>
  <si>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</si>
  <si>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</si>
  <si>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</si>
  <si>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</si>
  <si>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</si>
  <si>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</si>
  <si>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</si>
  <si>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</si>
  <si>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</si>
  <si>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</si>
  <si>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</si>
  <si>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</si>
  <si>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</si>
  <si>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</si>
  <si>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</si>
  <si>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</si>
  <si>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</si>
  <si>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</si>
  <si>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</si>
  <si>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</si>
  <si>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</si>
  <si>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</si>
  <si>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</si>
  <si>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</si>
  <si>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</si>
  <si>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</si>
  <si>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</si>
  <si>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</si>
  <si>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</si>
  <si>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</si>
  <si>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</si>
  <si>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</si>
  <si>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</si>
  <si>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</si>
  <si>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</si>
  <si>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</si>
  <si>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</si>
  <si>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</si>
  <si>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</si>
  <si>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</si>
  <si>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</si>
  <si>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</si>
  <si>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</si>
  <si>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</si>
  <si>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</si>
  <si>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</si>
  <si>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</si>
  <si>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</si>
  <si>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</si>
  <si>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</si>
  <si>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</si>
  <si>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</si>
  <si>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</si>
  <si>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</si>
  <si>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</si>
  <si>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</si>
  <si>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</si>
  <si>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</si>
  <si>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</si>
  <si>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</si>
  <si>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</si>
  <si>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</si>
  <si>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</si>
  <si>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</si>
  <si>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</si>
  <si>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</si>
  <si>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</si>
  <si>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</si>
  <si>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</si>
  <si>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</si>
  <si>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</si>
  <si>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</si>
  <si>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</si>
  <si>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</si>
  <si>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</si>
  <si>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</si>
  <si>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</si>
  <si>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</si>
  <si>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</si>
  <si>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</si>
  <si>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</si>
  <si>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</si>
  <si>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</si>
  <si>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</si>
  <si>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</si>
  <si>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</si>
  <si>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</si>
  <si>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</si>
  <si>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</si>
  <si>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</si>
  <si>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</si>
  <si>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</si>
  <si>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</si>
  <si>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</si>
  <si>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</si>
  <si>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</si>
  <si>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</si>
  <si>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</si>
  <si>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</si>
  <si>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</si>
  <si>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</si>
  <si>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</si>
  <si>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</si>
  <si>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</si>
  <si>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</si>
  <si>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</si>
  <si>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</si>
  <si>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</si>
  <si>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</si>
  <si>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</si>
  <si>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</si>
  <si>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</si>
  <si>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</si>
  <si>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</si>
  <si>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</si>
  <si>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</si>
  <si>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</si>
  <si>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</si>
  <si>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</si>
  <si>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</si>
  <si>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</si>
  <si>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</si>
  <si>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</si>
  <si>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</si>
  <si>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</si>
  <si>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</si>
  <si>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</si>
  <si>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</si>
  <si>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</si>
  <si>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</si>
  <si>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</si>
  <si>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</si>
  <si>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</si>
  <si>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</si>
  <si>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</si>
  <si>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</si>
  <si>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</si>
  <si>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</si>
  <si>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</si>
  <si>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</si>
  <si>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</si>
  <si>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</si>
  <si>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</si>
  <si>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</si>
  <si>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</si>
  <si>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</si>
  <si>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</si>
  <si>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</si>
  <si>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</si>
  <si>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</si>
  <si>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</si>
  <si>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</si>
  <si>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</si>
  <si>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</si>
  <si>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</si>
  <si>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</si>
  <si>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</si>
  <si>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</si>
  <si>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</si>
  <si>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</si>
  <si>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</si>
  <si>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</si>
  <si>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</si>
  <si>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</si>
  <si>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</si>
  <si>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</si>
  <si>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</si>
  <si>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</si>
  <si>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</si>
  <si>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</si>
  <si>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</si>
  <si>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</si>
  <si>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</si>
  <si>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</si>
  <si>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</si>
  <si>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</si>
  <si>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</si>
  <si>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</si>
  <si>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</si>
  <si>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</si>
  <si>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</si>
  <si>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</si>
  <si>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</si>
  <si>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</si>
  <si>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</si>
  <si>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</si>
  <si>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</si>
  <si>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</si>
  <si>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</si>
  <si>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</si>
  <si>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</si>
  <si>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</si>
  <si>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</si>
  <si>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</si>
  <si>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</si>
  <si>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</si>
  <si>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</si>
  <si>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</si>
  <si>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</si>
  <si>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</si>
  <si>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</si>
  <si>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</si>
  <si>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</si>
  <si>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</si>
  <si>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</si>
  <si>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</si>
  <si>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</si>
  <si>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</si>
  <si>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</si>
  <si>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</si>
  <si>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</si>
  <si>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</si>
  <si>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</si>
  <si>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</si>
  <si>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</si>
  <si>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</si>
  <si>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</si>
  <si>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</si>
  <si>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</si>
  <si>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</si>
  <si>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</si>
  <si>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</si>
  <si>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</si>
  <si>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</si>
  <si>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</si>
  <si>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</si>
  <si>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</si>
  <si>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</si>
  <si>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</si>
  <si>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</si>
  <si>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</si>
  <si>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</si>
  <si>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</si>
  <si>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</si>
  <si>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</si>
  <si>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</si>
  <si>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</si>
  <si>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</si>
  <si>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</si>
  <si>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</si>
  <si>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</si>
  <si>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</si>
  <si>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</si>
  <si>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</si>
  <si>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</si>
  <si>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</si>
  <si>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</si>
  <si>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</si>
  <si>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</si>
  <si>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</si>
  <si>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</si>
  <si>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</si>
  <si>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</si>
  <si>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</si>
  <si>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</si>
  <si>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</si>
  <si>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</si>
  <si>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</si>
  <si>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</si>
  <si>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</si>
  <si>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</si>
  <si>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</si>
  <si>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</si>
  <si>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</si>
  <si>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</si>
  <si>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</si>
  <si>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</si>
  <si>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</si>
  <si>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</si>
  <si>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</si>
  <si>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</si>
  <si>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</si>
  <si>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</si>
  <si>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</si>
  <si>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</si>
  <si>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</si>
  <si>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</si>
  <si>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</si>
  <si>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</si>
  <si>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</si>
  <si>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</si>
  <si>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</si>
  <si>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</si>
  <si>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</si>
  <si>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</si>
  <si>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</si>
  <si>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</si>
  <si>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</si>
  <si>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</si>
  <si>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</si>
  <si>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</si>
  <si>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</si>
  <si>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</si>
  <si>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</si>
  <si>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</si>
  <si>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</si>
  <si>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</si>
  <si>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</si>
  <si>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</si>
  <si>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</si>
  <si>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</si>
  <si>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</si>
  <si>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</si>
  <si>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</si>
  <si>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</si>
  <si>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</si>
  <si>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</si>
  <si>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</si>
  <si>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</si>
  <si>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</si>
  <si>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</si>
  <si>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</si>
  <si>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</si>
  <si>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</si>
  <si>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</si>
  <si>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</si>
  <si>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</si>
  <si>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</si>
  <si>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</si>
  <si>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</si>
  <si>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</si>
  <si>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</si>
  <si>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</si>
  <si>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</si>
  <si>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</si>
  <si>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</si>
  <si>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</si>
  <si>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</si>
  <si>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</si>
  <si>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</si>
  <si>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</si>
  <si>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</si>
  <si>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</si>
  <si>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</si>
  <si>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</si>
  <si>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</si>
  <si>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</si>
  <si>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</si>
  <si>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</si>
  <si>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</si>
  <si>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</si>
  <si>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</si>
  <si>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</si>
  <si>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</si>
  <si>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</si>
  <si>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</si>
  <si>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</si>
  <si>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</si>
  <si>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</si>
  <si>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</si>
  <si>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</si>
  <si>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</si>
  <si>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</si>
  <si>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</si>
  <si>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</si>
  <si>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</si>
  <si>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</si>
  <si>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</si>
  <si>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</si>
  <si>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</si>
  <si>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</si>
  <si>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</si>
  <si>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</si>
  <si>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</si>
  <si>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</si>
  <si>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</si>
  <si>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</si>
  <si>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</si>
  <si>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</si>
  <si>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</si>
  <si>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</si>
  <si>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</si>
  <si>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</si>
  <si>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</si>
  <si>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</si>
  <si>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</si>
  <si>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</si>
  <si>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</si>
  <si>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</si>
  <si>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</si>
  <si>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</si>
  <si>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</si>
  <si>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</si>
  <si>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</si>
  <si>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</si>
  <si>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</si>
  <si>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</si>
  <si>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</si>
  <si>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</si>
  <si>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</si>
  <si>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</si>
  <si>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</si>
  <si>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</si>
  <si>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</si>
  <si>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</si>
  <si>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</si>
  <si>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</si>
  <si>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</si>
  <si>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</si>
  <si>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</si>
  <si>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</si>
  <si>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</si>
  <si>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</si>
  <si>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</si>
  <si>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</si>
  <si>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</si>
  <si>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</si>
  <si>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</si>
  <si>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</si>
  <si>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</si>
  <si>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</si>
  <si>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</si>
  <si>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</si>
  <si>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</si>
  <si>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</si>
  <si>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</si>
  <si>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</si>
  <si>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</si>
  <si>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</si>
  <si>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</si>
  <si>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</si>
  <si>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</si>
  <si>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</si>
  <si>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</si>
  <si>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</si>
  <si>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</si>
  <si>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</si>
  <si>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</si>
  <si>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</si>
  <si>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</si>
  <si>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</si>
  <si>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</si>
  <si>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</si>
  <si>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</si>
  <si>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</si>
  <si>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</si>
  <si>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</si>
  <si>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</si>
  <si>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</si>
  <si>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</si>
  <si>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</si>
  <si>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</si>
  <si>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</si>
  <si>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</si>
  <si>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</si>
  <si>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</si>
  <si>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</si>
  <si>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</si>
  <si>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</si>
  <si>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</si>
  <si>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</si>
  <si>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</si>
  <si>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</si>
  <si>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</si>
  <si>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</si>
  <si>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</si>
  <si>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</si>
  <si>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</si>
  <si>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</si>
  <si>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</si>
  <si>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</si>
  <si>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</si>
  <si>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</si>
  <si>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</si>
  <si>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</si>
  <si>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</si>
  <si>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</si>
  <si>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</si>
  <si>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</si>
  <si>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</si>
  <si>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</si>
  <si>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</si>
  <si>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</si>
  <si>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</si>
  <si>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</si>
  <si>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</si>
  <si>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</si>
  <si>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</si>
  <si>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</si>
  <si>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</si>
  <si>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</si>
  <si>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</si>
  <si>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</si>
  <si>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</si>
  <si>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</si>
  <si>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</si>
  <si>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</si>
  <si>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</si>
  <si>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</si>
  <si>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</si>
  <si>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</si>
  <si>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</si>
  <si>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</si>
  <si>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</si>
  <si>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</si>
  <si>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</si>
  <si>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</si>
  <si>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</si>
  <si>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</si>
  <si>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</si>
  <si>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</si>
  <si>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</si>
  <si>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</si>
  <si>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</si>
  <si>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</si>
  <si>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</si>
  <si>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</si>
  <si>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</si>
  <si>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</si>
  <si>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</si>
  <si>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</si>
  <si>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</si>
  <si>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</si>
  <si>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</si>
  <si>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</si>
  <si>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</si>
  <si>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</si>
  <si>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</si>
  <si>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</si>
  <si>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</si>
  <si>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</si>
  <si>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</si>
  <si>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</si>
  <si>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</si>
  <si>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</si>
  <si>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</si>
  <si>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</si>
  <si>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</si>
  <si>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</si>
  <si>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</si>
  <si>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</si>
  <si>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</si>
  <si>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</si>
  <si>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</si>
  <si>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</si>
  <si>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</si>
  <si>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</si>
  <si>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</si>
  <si>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</si>
  <si>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</si>
  <si>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</si>
  <si>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</si>
  <si>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</si>
  <si>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</si>
  <si>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</si>
  <si>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</si>
  <si>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</si>
  <si>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</si>
  <si>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</si>
  <si>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</si>
  <si>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</si>
  <si>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</si>
  <si>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</si>
  <si>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</si>
  <si>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</si>
  <si>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</si>
  <si>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</si>
  <si>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</si>
  <si>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</si>
  <si>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</si>
  <si>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</si>
  <si>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</si>
  <si>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</si>
  <si>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</si>
  <si>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</si>
  <si>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</si>
  <si>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</si>
  <si>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</si>
  <si>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</si>
  <si>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</si>
  <si>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</si>
  <si>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</si>
  <si>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</si>
  <si>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</si>
  <si>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</si>
  <si>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</si>
  <si>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</si>
  <si>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</si>
  <si>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</si>
  <si>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</si>
  <si>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</si>
  <si>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</si>
  <si>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</si>
  <si>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</si>
  <si>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</si>
  <si>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</si>
  <si>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</si>
  <si>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</si>
  <si>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</si>
  <si>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</si>
  <si>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</si>
  <si>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</si>
  <si>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</si>
  <si>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</si>
  <si>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</si>
  <si>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</si>
  <si>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</si>
  <si>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</si>
  <si>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</si>
  <si>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</si>
  <si>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</si>
  <si>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</si>
  <si>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</si>
  <si>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</si>
  <si>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</si>
  <si>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</si>
  <si>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</si>
  <si>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</si>
  <si>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</si>
  <si>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</si>
  <si>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</si>
  <si>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</si>
  <si>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</si>
  <si>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</si>
  <si>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</si>
  <si>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</si>
  <si>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</si>
  <si>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</si>
  <si>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</si>
  <si>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</si>
  <si>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</si>
  <si>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</si>
  <si>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</si>
  <si>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</si>
  <si>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</si>
  <si>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</si>
  <si>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</si>
  <si>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</si>
  <si>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</si>
  <si>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</si>
  <si>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</si>
  <si>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</si>
  <si>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</si>
  <si>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</si>
  <si>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</si>
  <si>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</si>
  <si>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</si>
  <si>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</si>
  <si>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</si>
  <si>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</si>
  <si>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</si>
  <si>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</si>
  <si>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</si>
  <si>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</si>
  <si>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</si>
  <si>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</si>
  <si>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</si>
  <si>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</si>
  <si>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</si>
  <si>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</si>
  <si>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</si>
  <si>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</si>
  <si>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</si>
  <si>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</si>
  <si>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</si>
  <si>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</si>
  <si>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</si>
  <si>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</si>
  <si>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</si>
  <si>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</si>
  <si>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</si>
  <si>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</si>
  <si>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</si>
  <si>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</si>
  <si>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</si>
  <si>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</si>
  <si>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</si>
  <si>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</si>
  <si>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</si>
  <si>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</si>
  <si>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</si>
  <si>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</si>
  <si>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</si>
  <si>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</si>
  <si>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</si>
  <si>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</si>
  <si>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</si>
  <si>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</si>
  <si>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</si>
  <si>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</si>
  <si>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</si>
  <si>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</si>
  <si>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</si>
  <si>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</si>
  <si>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</si>
  <si>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</si>
  <si>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</si>
  <si>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</si>
  <si>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</si>
  <si>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</si>
  <si>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</si>
  <si>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</si>
  <si>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</si>
  <si>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</si>
  <si>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</si>
  <si>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</si>
  <si>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</si>
  <si>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</si>
  <si>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</si>
  <si>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</si>
  <si>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</si>
  <si>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</si>
  <si>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</si>
  <si>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</si>
  <si>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</si>
  <si>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</si>
  <si>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</si>
  <si>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</si>
  <si>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</si>
  <si>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</si>
  <si>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</si>
  <si>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</si>
  <si>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</si>
  <si>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</si>
  <si>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</si>
  <si>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</si>
  <si>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</si>
  <si>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</si>
  <si>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</si>
  <si>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</si>
  <si>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</si>
  <si>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</si>
  <si>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</si>
  <si>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</si>
  <si>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</si>
  <si>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</si>
  <si>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</si>
  <si>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</si>
  <si>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</si>
  <si>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</si>
  <si>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</si>
  <si>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</si>
  <si>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</si>
  <si>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</si>
  <si>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</si>
  <si>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</si>
  <si>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</si>
  <si>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</si>
  <si>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</si>
  <si>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</si>
  <si>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</si>
  <si>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</si>
  <si>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</si>
  <si>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</si>
  <si>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</si>
  <si>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</si>
  <si>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</si>
  <si>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</si>
  <si>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</si>
  <si>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</si>
  <si>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</si>
  <si>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</si>
  <si>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</si>
  <si>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</si>
  <si>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</si>
  <si>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</si>
  <si>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</si>
  <si>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</si>
  <si>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</si>
  <si>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</si>
  <si>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</si>
  <si>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</si>
  <si>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</si>
  <si>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</si>
  <si>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</si>
  <si>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</si>
  <si>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</si>
  <si>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</si>
  <si>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</si>
  <si>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</si>
  <si>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</si>
  <si>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</si>
  <si>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</si>
  <si>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</si>
  <si>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</si>
  <si>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</si>
  <si>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</si>
  <si>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</si>
  <si>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</si>
  <si>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</si>
  <si>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</si>
  <si>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</si>
  <si>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</si>
  <si>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</si>
  <si>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</si>
  <si>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</si>
  <si>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</si>
  <si>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</si>
  <si>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</si>
  <si>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</si>
  <si>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</si>
  <si>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</si>
  <si>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</si>
  <si>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</si>
  <si>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</si>
  <si>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</si>
  <si>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</si>
  <si>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</si>
  <si>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</si>
  <si>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</si>
  <si>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</si>
  <si>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</si>
  <si>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</si>
  <si>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</si>
  <si>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</si>
  <si>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</si>
  <si>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</si>
  <si>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</si>
  <si>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</si>
  <si>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</si>
  <si>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</si>
  <si>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</si>
  <si>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</si>
  <si>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</si>
  <si>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</si>
  <si>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</si>
  <si>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</si>
  <si>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</si>
  <si>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</si>
  <si>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</si>
  <si>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</si>
  <si>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</si>
  <si>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</si>
  <si>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</si>
  <si>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</si>
  <si>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</si>
  <si>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</si>
  <si>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</si>
  <si>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</si>
  <si>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</si>
  <si>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</si>
  <si>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</si>
  <si>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</si>
  <si>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</si>
  <si>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</si>
  <si>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</si>
  <si>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</si>
  <si>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</si>
  <si>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</si>
  <si>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</si>
  <si>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</si>
  <si>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</si>
  <si>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</si>
  <si>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</si>
  <si>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</si>
  <si>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</si>
  <si>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</si>
  <si>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</si>
  <si>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</si>
  <si>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</si>
  <si>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</si>
  <si>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</si>
  <si>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</si>
  <si>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</si>
  <si>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</si>
  <si>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</si>
  <si>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</si>
  <si>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</si>
  <si>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</si>
  <si>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</si>
  <si>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</si>
  <si>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</si>
  <si>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</si>
  <si>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</si>
  <si>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</si>
  <si>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</si>
  <si>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</si>
  <si>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</si>
  <si>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</si>
  <si>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</si>
  <si>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</si>
  <si>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</si>
  <si>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</si>
  <si>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</si>
  <si>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</si>
  <si>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</si>
  <si>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</si>
  <si>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</si>
  <si>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</si>
  <si>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</si>
  <si>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</si>
  <si>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</si>
  <si>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</si>
  <si>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</si>
  <si>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</si>
  <si>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</si>
  <si>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</si>
  <si>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</si>
  <si>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</si>
  <si>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</si>
  <si>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</si>
  <si>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</si>
  <si>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</si>
  <si>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</si>
  <si>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</si>
  <si>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</si>
  <si>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</si>
  <si>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</si>
  <si>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</si>
  <si>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</si>
  <si>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</si>
  <si>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</si>
  <si>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</si>
  <si>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</si>
  <si>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</si>
  <si>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</si>
  <si>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</si>
  <si>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</si>
  <si>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</si>
  <si>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</si>
  <si>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</si>
  <si>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</si>
  <si>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</si>
  <si>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</si>
  <si>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</si>
  <si>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</si>
  <si>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</si>
  <si>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</si>
  <si>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</si>
  <si>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</si>
  <si>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</si>
  <si>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</si>
  <si>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</si>
  <si>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</si>
  <si>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</si>
  <si>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</si>
  <si>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</si>
  <si>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</si>
  <si>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</si>
  <si>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</si>
  <si>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</si>
  <si>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</si>
  <si>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</si>
  <si>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</si>
  <si>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</si>
  <si>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</si>
  <si>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</si>
  <si>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</si>
  <si>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</si>
  <si>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</si>
  <si>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</si>
  <si>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</si>
  <si>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</si>
  <si>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</si>
  <si>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</si>
  <si>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</si>
  <si>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</si>
  <si>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</si>
  <si>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</si>
  <si>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</si>
  <si>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</si>
  <si>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</si>
  <si>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</si>
  <si>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</si>
  <si>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</si>
  <si>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</si>
  <si>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</si>
  <si>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</si>
  <si>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</si>
  <si>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</si>
  <si>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</si>
  <si>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</si>
  <si>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</si>
  <si>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</si>
  <si>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</si>
  <si>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</si>
  <si>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</si>
  <si>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</si>
  <si>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</si>
  <si>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</si>
  <si>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</si>
  <si>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</si>
  <si>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</si>
  <si>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</si>
  <si>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</si>
  <si>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</si>
  <si>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</si>
  <si>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</si>
  <si>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</si>
  <si>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</si>
  <si>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</si>
  <si>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</si>
  <si>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</si>
  <si>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</si>
  <si>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</si>
  <si>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</si>
  <si>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</si>
  <si>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</si>
  <si>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</si>
  <si>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</si>
  <si>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</si>
  <si>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</si>
  <si>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</si>
  <si>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</si>
  <si>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</si>
  <si>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</si>
  <si>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</si>
  <si>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</si>
  <si>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</si>
  <si>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</si>
  <si>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</si>
  <si>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</si>
  <si>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</si>
  <si>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</si>
  <si>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</si>
  <si>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</si>
  <si>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</si>
  <si>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</si>
  <si>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</si>
  <si>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</si>
  <si>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</si>
  <si>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</si>
  <si>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</si>
  <si>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</si>
  <si>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</si>
  <si>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</si>
  <si>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</si>
  <si>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</si>
  <si>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</si>
  <si>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</si>
  <si>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</si>
  <si>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</si>
  <si>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</si>
  <si>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</si>
  <si>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</si>
  <si>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</si>
  <si>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</si>
  <si>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</si>
  <si>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</si>
  <si>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</si>
  <si>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</si>
  <si>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</si>
  <si>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</si>
  <si>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</si>
  <si>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</si>
  <si>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</si>
  <si>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</si>
  <si>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</si>
  <si>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</si>
  <si>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</si>
  <si>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</si>
  <si>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</si>
  <si>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</si>
  <si>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</si>
  <si>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</si>
  <si>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</si>
  <si>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</si>
  <si>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</si>
  <si>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</si>
  <si>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</si>
  <si>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</si>
  <si>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</si>
  <si>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</si>
  <si>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</si>
  <si>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</si>
  <si>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</si>
  <si>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</si>
  <si>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</si>
  <si>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</si>
  <si>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</si>
  <si>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</si>
  <si>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</si>
  <si>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</si>
  <si>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</si>
  <si>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</si>
  <si>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</si>
  <si>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</si>
  <si>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</si>
  <si>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</si>
  <si>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</si>
  <si>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</si>
  <si>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</si>
  <si>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</si>
  <si>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</si>
  <si>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</si>
  <si>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</si>
  <si>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</si>
  <si>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</si>
  <si>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</si>
  <si>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</si>
  <si>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</si>
  <si>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</si>
  <si>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</si>
  <si>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</si>
  <si>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</si>
  <si>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</si>
  <si>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</si>
  <si>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</si>
  <si>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</si>
  <si>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</si>
  <si>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</si>
  <si>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</si>
  <si>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</si>
  <si>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</si>
  <si>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</si>
  <si>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</si>
  <si>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</si>
  <si>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</si>
  <si>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</si>
  <si>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</si>
  <si>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</si>
  <si>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</si>
  <si>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</si>
  <si>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</si>
  <si>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</si>
  <si>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</si>
  <si>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</si>
  <si>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</si>
  <si>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</si>
  <si>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</si>
  <si>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</si>
  <si>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</si>
  <si>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</si>
  <si>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</si>
  <si>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</si>
  <si>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</si>
  <si>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</si>
  <si>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</si>
  <si>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</si>
  <si>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</si>
  <si>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</si>
  <si>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</si>
  <si>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</si>
  <si>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</si>
  <si>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</si>
  <si>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</si>
  <si>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</si>
  <si>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</si>
  <si>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</si>
  <si>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</si>
  <si>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</si>
  <si>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</si>
  <si>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</si>
  <si>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</si>
  <si>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</si>
  <si>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</si>
  <si>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</si>
  <si>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</si>
  <si>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</si>
  <si>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</si>
  <si>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</si>
  <si>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</si>
  <si>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</si>
  <si>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</si>
  <si>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</si>
  <si>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</si>
  <si>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</si>
  <si>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</si>
  <si>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</si>
  <si>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</si>
  <si>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</si>
  <si>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</si>
  <si>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</si>
  <si>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</si>
  <si>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</si>
  <si>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</si>
  <si>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</si>
  <si>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</si>
  <si>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</si>
  <si>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</si>
  <si>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</si>
  <si>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</si>
  <si>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</si>
  <si>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</si>
  <si>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</si>
  <si>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</si>
  <si>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</si>
  <si>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</si>
  <si>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</si>
  <si>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</si>
  <si>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</si>
  <si>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</si>
  <si>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</si>
  <si>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</si>
  <si>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</si>
  <si>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</si>
  <si>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</si>
  <si>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</si>
  <si>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</si>
  <si>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</si>
  <si>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</si>
  <si>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</si>
  <si>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</si>
  <si>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</si>
  <si>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</si>
  <si>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</si>
  <si>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</si>
  <si>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</si>
  <si>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</si>
  <si>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</si>
  <si>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</si>
  <si>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</si>
  <si>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</si>
  <si>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</si>
  <si>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</si>
  <si>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</si>
  <si>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</si>
  <si>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</si>
  <si>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</si>
  <si>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</si>
  <si>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</si>
  <si>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</si>
  <si>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</si>
  <si>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</si>
  <si>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</si>
  <si>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</si>
  <si>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</si>
  <si>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</si>
  <si>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</si>
  <si>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</si>
  <si>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</si>
  <si>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</si>
  <si>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</si>
  <si>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</si>
  <si>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</si>
  <si>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</si>
  <si>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</si>
  <si>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</si>
  <si>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</si>
  <si>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</si>
  <si>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</si>
  <si>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</si>
  <si>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</si>
  <si>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</si>
  <si>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</si>
  <si>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</si>
  <si>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</si>
  <si>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</si>
  <si>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</si>
  <si>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</si>
  <si>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</si>
  <si>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</si>
  <si>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</si>
  <si>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</si>
  <si>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</si>
  <si>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</si>
  <si>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</si>
  <si>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</si>
  <si>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</si>
  <si>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</si>
  <si>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</si>
  <si>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</si>
  <si>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</si>
  <si>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</si>
  <si>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</si>
  <si>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</si>
  <si>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</si>
  <si>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</si>
  <si>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</si>
  <si>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</si>
  <si>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</si>
  <si>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</si>
  <si>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</si>
  <si>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</si>
  <si>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</si>
  <si>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</si>
  <si>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</si>
  <si>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</si>
  <si>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</si>
  <si>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</si>
  <si>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</si>
  <si>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</si>
  <si>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</si>
  <si>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</si>
  <si>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</si>
  <si>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</si>
  <si>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</si>
  <si>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</si>
  <si>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</si>
  <si>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</si>
  <si>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</si>
  <si>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</si>
  <si>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</si>
  <si>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</si>
  <si>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</si>
  <si>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</si>
  <si>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</si>
  <si>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</si>
  <si>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</si>
  <si>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</si>
  <si>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</si>
  <si>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</si>
  <si>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</si>
  <si>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</si>
  <si>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</si>
  <si>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</si>
  <si>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</si>
  <si>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</si>
  <si>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</si>
  <si>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</si>
  <si>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</si>
  <si>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</si>
  <si>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</si>
  <si>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</si>
  <si>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</si>
  <si>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</si>
  <si>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</si>
  <si>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</si>
  <si>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</si>
  <si>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</si>
  <si>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</si>
  <si>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</si>
  <si>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</si>
  <si>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</si>
  <si>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</si>
  <si>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</si>
  <si>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</si>
  <si>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</si>
  <si>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</si>
  <si>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</si>
  <si>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</si>
  <si>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</si>
  <si>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</si>
  <si>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</si>
  <si>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</si>
  <si>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</si>
  <si>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</si>
  <si>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</si>
  <si>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</si>
  <si>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</si>
  <si>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</si>
  <si>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</si>
  <si>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</si>
  <si>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</si>
  <si>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</si>
  <si>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</si>
  <si>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</si>
  <si>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</si>
  <si>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</si>
  <si>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</si>
  <si>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</si>
  <si>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</si>
  <si>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</si>
  <si>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</si>
  <si>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</si>
  <si>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</si>
  <si>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</si>
  <si>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</si>
  <si>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</si>
  <si>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</si>
  <si>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</si>
  <si>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</si>
  <si>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</si>
  <si>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</si>
  <si>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</si>
  <si>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</si>
  <si>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</si>
  <si>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</si>
  <si>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</si>
  <si>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</si>
  <si>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</si>
  <si>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</si>
  <si>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</si>
  <si>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</si>
  <si>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</si>
  <si>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</si>
  <si>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</si>
  <si>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</si>
  <si>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</si>
  <si>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</si>
  <si>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</si>
  <si>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</si>
  <si>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</si>
  <si>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</si>
  <si>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</si>
  <si>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</si>
  <si>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</si>
  <si>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</si>
  <si>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</si>
  <si>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</si>
  <si>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</si>
  <si>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</si>
  <si>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</si>
  <si>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</si>
  <si>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</si>
  <si>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</si>
  <si>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</si>
  <si>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</si>
  <si>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</si>
  <si>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</si>
  <si>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</si>
  <si>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</si>
  <si>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</si>
  <si>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</si>
  <si>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</si>
  <si>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</si>
  <si>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</si>
  <si>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</si>
  <si>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</si>
  <si>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</si>
  <si>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</si>
  <si>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</si>
  <si>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</si>
  <si>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</si>
  <si>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</si>
  <si>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</si>
  <si>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</si>
  <si>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</si>
  <si>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</si>
  <si>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</si>
  <si>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</si>
  <si>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</si>
  <si>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</si>
  <si>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</si>
  <si>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</si>
  <si>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</si>
  <si>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</si>
  <si>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</si>
  <si>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</si>
  <si>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</si>
  <si>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</si>
  <si>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</si>
  <si>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</si>
  <si>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</si>
  <si>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</si>
  <si>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</si>
  <si>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</si>
  <si>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</si>
  <si>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</si>
  <si>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</si>
  <si>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</si>
  <si>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</si>
  <si>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</si>
  <si>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</si>
  <si>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</si>
  <si>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</si>
  <si>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</si>
  <si>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</si>
  <si>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</si>
  <si>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</si>
  <si>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</si>
  <si>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</si>
  <si>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</si>
  <si>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</si>
  <si>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</si>
  <si>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</si>
  <si>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</si>
  <si>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</si>
  <si>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</si>
  <si>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</si>
  <si>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</si>
  <si>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</si>
  <si>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</si>
  <si>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</si>
  <si>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</si>
  <si>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</si>
  <si>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</si>
  <si>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</si>
  <si>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</si>
  <si>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</si>
  <si>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</si>
  <si>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</si>
  <si>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</si>
  <si>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</si>
  <si>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</si>
  <si>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</si>
  <si>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</si>
  <si>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</si>
  <si>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</si>
  <si>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</si>
  <si>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</si>
  <si>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</si>
  <si>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</si>
  <si>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</si>
  <si>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</si>
  <si>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</si>
  <si>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</si>
  <si>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</si>
  <si>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</si>
  <si>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</si>
  <si>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</si>
  <si>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</si>
  <si>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</si>
  <si>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</si>
  <si>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</si>
  <si>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</si>
  <si>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</si>
  <si>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</si>
  <si>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</si>
  <si>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</si>
  <si>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</si>
  <si>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</si>
  <si>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</si>
  <si>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</si>
  <si>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</si>
  <si>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</si>
  <si>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</si>
  <si>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</si>
  <si>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</si>
  <si>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</si>
  <si>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</si>
  <si>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</si>
  <si>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</si>
  <si>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</si>
  <si>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</si>
  <si>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</si>
  <si>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</si>
  <si>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</si>
  <si>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</si>
  <si>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</si>
  <si>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</si>
  <si>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</si>
  <si>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</si>
  <si>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</si>
  <si>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</si>
  <si>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</si>
  <si>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</si>
  <si>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</si>
  <si>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</si>
  <si>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</si>
  <si>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</si>
  <si>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</si>
  <si>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</si>
  <si>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</si>
  <si>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</si>
  <si>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</si>
  <si>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</si>
  <si>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</si>
  <si>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</si>
  <si>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</si>
  <si>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</si>
  <si>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</si>
  <si>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</si>
  <si>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</si>
  <si>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</si>
  <si>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</si>
  <si>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</si>
  <si>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</si>
  <si>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</si>
  <si>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</si>
  <si>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</si>
  <si>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</si>
  <si>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</si>
  <si>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</si>
  <si>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</si>
  <si>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</si>
  <si>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</si>
  <si>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</si>
  <si>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</si>
  <si>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</si>
  <si>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</si>
  <si>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</si>
  <si>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</si>
  <si>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</si>
  <si>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</si>
  <si>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</si>
  <si>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</si>
  <si>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</si>
  <si>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</si>
  <si>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</si>
  <si>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</si>
  <si>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</si>
  <si>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</si>
  <si>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</si>
  <si>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</si>
  <si>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</si>
  <si>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</si>
  <si>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</si>
  <si>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</si>
  <si>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</si>
  <si>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</si>
  <si>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</si>
  <si>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</si>
  <si>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</si>
  <si>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</si>
  <si>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</si>
  <si>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</si>
  <si>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</si>
  <si>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</si>
  <si>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</si>
  <si>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</si>
  <si>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</si>
  <si>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</si>
  <si>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</si>
  <si>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</si>
  <si>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</si>
  <si>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</si>
  <si>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</si>
  <si>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</si>
  <si>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</si>
  <si>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</si>
  <si>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</si>
  <si>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</si>
  <si>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</si>
  <si>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</si>
  <si>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</si>
  <si>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</si>
  <si>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</si>
  <si>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</si>
  <si>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</si>
  <si>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</si>
  <si>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</si>
  <si>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</si>
  <si>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</si>
  <si>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</si>
  <si>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</si>
  <si>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</si>
  <si>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</si>
  <si>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</si>
  <si>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</si>
  <si>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</si>
  <si>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</si>
  <si>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</si>
  <si>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</si>
  <si>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</si>
  <si>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</si>
  <si>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</si>
  <si>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</si>
  <si>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</si>
  <si>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</si>
  <si>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</si>
  <si>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</si>
  <si>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</si>
  <si>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</si>
  <si>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</si>
  <si>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</si>
  <si>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</si>
  <si>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</si>
  <si>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</si>
  <si>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</si>
  <si>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</si>
  <si>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</si>
  <si>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</si>
  <si>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</si>
  <si>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</si>
  <si>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</si>
  <si>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</si>
  <si>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</si>
  <si>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</si>
  <si>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</si>
  <si>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</si>
  <si>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</si>
  <si>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</si>
  <si>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</si>
  <si>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</si>
  <si>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</si>
  <si>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</si>
  <si>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</si>
  <si>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</si>
  <si>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</si>
  <si>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</si>
  <si>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</si>
  <si>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</si>
  <si>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</si>
  <si>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</si>
  <si>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</si>
  <si>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</si>
  <si>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</si>
  <si>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</si>
  <si>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</si>
  <si>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</si>
  <si>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</si>
  <si>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</si>
  <si>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</si>
  <si>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</si>
  <si>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</si>
  <si>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</si>
  <si>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</si>
  <si>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</si>
  <si>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</si>
  <si>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</si>
  <si>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</si>
  <si>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</si>
  <si>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</si>
  <si>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</si>
  <si>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</si>
  <si>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</si>
  <si>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</si>
  <si>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</si>
  <si>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</si>
  <si>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</si>
  <si>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</si>
  <si>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</si>
  <si>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</si>
  <si>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</si>
  <si>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</si>
  <si>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</si>
  <si>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</si>
  <si>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</si>
  <si>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</si>
  <si>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</si>
  <si>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</si>
  <si>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</si>
  <si>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</si>
  <si>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</si>
  <si>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</si>
  <si>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</si>
  <si>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</si>
  <si>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</si>
  <si>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</si>
  <si>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</si>
  <si>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</si>
  <si>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</si>
  <si>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</si>
  <si>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</si>
  <si>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</si>
  <si>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</si>
  <si>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</si>
  <si>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</si>
  <si>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</si>
  <si>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</si>
  <si>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</si>
  <si>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</si>
  <si>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</si>
  <si>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</si>
  <si>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</si>
  <si>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</si>
  <si>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</si>
  <si>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</si>
  <si>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</si>
  <si>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</si>
  <si>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</si>
  <si>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</si>
  <si>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</si>
  <si>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</si>
  <si>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</si>
  <si>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</si>
  <si>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</si>
  <si>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</si>
  <si>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</si>
  <si>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</si>
  <si>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</si>
  <si>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</si>
  <si>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</si>
  <si>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</si>
  <si>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</si>
  <si>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</si>
  <si>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</si>
  <si>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</si>
  <si>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</si>
  <si>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</si>
  <si>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</si>
  <si>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</si>
  <si>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</si>
  <si>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</si>
  <si>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</si>
  <si>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</si>
  <si>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</si>
  <si>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</si>
  <si>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</si>
  <si>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</si>
  <si>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</si>
  <si>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</si>
  <si>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</si>
  <si>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</si>
  <si>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</si>
  <si>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</si>
  <si>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</si>
  <si>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</si>
  <si>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</si>
  <si>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</si>
  <si>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</si>
  <si>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</si>
  <si>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</si>
  <si>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</si>
  <si>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</si>
  <si>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</si>
  <si>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</si>
  <si>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</si>
  <si>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</si>
  <si>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</si>
  <si>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</si>
  <si>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</si>
  <si>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</si>
  <si>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</si>
  <si>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</si>
  <si>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</si>
  <si>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</si>
  <si>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</si>
  <si>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</si>
  <si>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</si>
  <si>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</si>
  <si>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</si>
  <si>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</si>
  <si>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</si>
  <si>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</si>
  <si>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</si>
  <si>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</si>
  <si>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</si>
  <si>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</si>
  <si>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</si>
  <si>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</si>
  <si>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</si>
  <si>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</si>
  <si>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</si>
  <si>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</si>
  <si>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</si>
  <si>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</si>
  <si>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</si>
  <si>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</si>
  <si>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</si>
  <si>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</si>
  <si>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</si>
  <si>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</si>
  <si>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</si>
  <si>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</si>
  <si>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</si>
  <si>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</si>
  <si>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</si>
  <si>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</si>
  <si>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</si>
  <si>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</si>
  <si>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</si>
  <si>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</si>
  <si>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</si>
  <si>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</si>
  <si>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</si>
  <si>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</si>
  <si>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</si>
  <si>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</si>
  <si>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</si>
  <si>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</si>
  <si>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</si>
  <si>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</si>
  <si>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</si>
  <si>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</si>
  <si>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</si>
  <si>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</si>
  <si>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</si>
  <si>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</si>
  <si>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</si>
  <si>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</si>
  <si>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</si>
  <si>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</si>
  <si>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</si>
  <si>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</si>
  <si>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</si>
  <si>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</si>
  <si>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</si>
  <si>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</si>
  <si>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</si>
  <si>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</si>
  <si>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</si>
  <si>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</si>
  <si>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</si>
  <si>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</si>
  <si>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</si>
  <si>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</si>
  <si>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</si>
  <si>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</si>
  <si>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</si>
  <si>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</si>
  <si>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</si>
  <si>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</si>
  <si>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</si>
  <si>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</si>
  <si>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</si>
  <si>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</si>
  <si>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</si>
  <si>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</si>
  <si>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</si>
  <si>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</si>
  <si>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</si>
  <si>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</si>
  <si>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</si>
  <si>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</si>
  <si>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</si>
  <si>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</si>
  <si>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</si>
  <si>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</si>
  <si>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</si>
  <si>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</si>
  <si>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</si>
  <si>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</si>
  <si>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</si>
  <si>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</si>
  <si>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</si>
  <si>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</si>
  <si>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</si>
  <si>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</si>
  <si>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</si>
  <si>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</si>
  <si>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</si>
  <si>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</si>
  <si>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</si>
  <si>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</si>
  <si>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</si>
  <si>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</si>
  <si>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</si>
  <si>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</si>
  <si>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</si>
  <si>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</si>
  <si>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</si>
  <si>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</si>
  <si>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</si>
  <si>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</si>
  <si>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</si>
  <si>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</si>
  <si>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</si>
  <si>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</si>
  <si>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</si>
  <si>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</si>
  <si>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</si>
  <si>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</si>
  <si>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</si>
  <si>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</si>
  <si>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</si>
  <si>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</si>
  <si>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</si>
  <si>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</si>
  <si>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</si>
  <si>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</si>
  <si>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</si>
  <si>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</si>
  <si>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</si>
  <si>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</si>
  <si>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</si>
  <si>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</si>
  <si>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</si>
  <si>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</si>
  <si>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</si>
  <si>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</si>
  <si>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</si>
  <si>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</si>
  <si>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</si>
  <si>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</si>
  <si>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</si>
  <si>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</si>
  <si>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</si>
  <si>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</si>
  <si>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</si>
  <si>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</si>
  <si>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</si>
  <si>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</si>
  <si>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</si>
  <si>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</si>
  <si>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</si>
  <si>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</si>
  <si>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</si>
  <si>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</si>
  <si>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</si>
  <si>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</si>
  <si>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</si>
  <si>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</si>
  <si>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</si>
  <si>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</si>
  <si>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</si>
  <si>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</si>
  <si>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</si>
  <si>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</si>
  <si>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</si>
  <si>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</si>
  <si>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</si>
  <si>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</si>
  <si>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</si>
  <si>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</si>
  <si>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</si>
  <si>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</si>
  <si>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</si>
  <si>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</si>
  <si>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</si>
  <si>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</si>
  <si>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</si>
  <si>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</si>
  <si>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</si>
  <si>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</si>
  <si>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</si>
  <si>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</si>
  <si>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</si>
  <si>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</si>
  <si>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</si>
  <si>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</si>
  <si>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</si>
  <si>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</si>
  <si>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</si>
  <si>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</si>
  <si>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</si>
  <si>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</si>
  <si>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</si>
  <si>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</si>
  <si>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</si>
  <si>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</si>
  <si>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</si>
  <si>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</si>
  <si>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</si>
  <si>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</si>
  <si>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</si>
  <si>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</si>
  <si>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</si>
  <si>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</si>
  <si>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</si>
  <si>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</si>
  <si>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</si>
  <si>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</si>
  <si>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</si>
  <si>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</si>
  <si>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</si>
  <si>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</si>
  <si>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</si>
  <si>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</si>
  <si>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</si>
  <si>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</si>
  <si>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</si>
  <si>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</si>
  <si>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</si>
  <si>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</si>
  <si>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</si>
  <si>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</si>
  <si>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</si>
  <si>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</si>
  <si>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</si>
  <si>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</si>
  <si>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</si>
  <si>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</si>
  <si>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</si>
  <si>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</si>
  <si>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</si>
  <si>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</si>
  <si>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</si>
  <si>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</si>
  <si>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</si>
  <si>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</si>
  <si>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</si>
  <si>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</si>
  <si>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</si>
  <si>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</si>
  <si>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</si>
  <si>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</si>
  <si>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</si>
  <si>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</si>
  <si>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</si>
  <si>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</si>
  <si>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</si>
  <si>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</si>
  <si>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</si>
  <si>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</si>
  <si>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</si>
  <si>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</si>
  <si>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</si>
  <si>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</si>
  <si>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</si>
  <si>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</si>
  <si>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</si>
  <si>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</si>
  <si>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</si>
  <si>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</si>
  <si>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</si>
  <si>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</si>
  <si>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</si>
  <si>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</si>
  <si>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</si>
  <si>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</si>
  <si>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</si>
  <si>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</si>
  <si>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</si>
  <si>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</si>
  <si>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</si>
  <si>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</si>
  <si>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</si>
  <si>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</si>
  <si>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</si>
  <si>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</si>
  <si>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</si>
  <si>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</si>
  <si>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</si>
  <si>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</si>
  <si>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</si>
  <si>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</si>
  <si>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</si>
  <si>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</si>
  <si>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</si>
  <si>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</si>
  <si>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</si>
  <si>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</si>
  <si>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</si>
  <si>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</si>
  <si>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</si>
  <si>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</si>
  <si>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</si>
  <si>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</si>
  <si>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</si>
  <si>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</si>
  <si>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</si>
  <si>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</si>
  <si>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</si>
  <si>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</si>
  <si>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</si>
  <si>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</si>
  <si>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</si>
  <si>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</si>
  <si>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</si>
  <si>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</si>
  <si>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</si>
  <si>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</si>
  <si>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</si>
  <si>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</si>
  <si>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</si>
  <si>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</si>
  <si>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</si>
  <si>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</si>
  <si>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</si>
  <si>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</si>
  <si>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</si>
  <si>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</si>
  <si>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</si>
  <si>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</si>
  <si>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</si>
  <si>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</si>
  <si>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</si>
  <si>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</si>
  <si>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</si>
  <si>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</si>
  <si>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</si>
  <si>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</si>
  <si>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</si>
  <si>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</si>
  <si>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</si>
  <si>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</si>
  <si>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</si>
  <si>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</si>
  <si>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</si>
  <si>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</si>
  <si>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</si>
  <si>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</si>
  <si>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</si>
  <si>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</si>
  <si>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</si>
  <si>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</si>
  <si>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</si>
  <si>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</si>
  <si>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</si>
  <si>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</si>
  <si>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</si>
  <si>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</si>
  <si>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</si>
  <si>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</si>
  <si>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</si>
  <si>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</si>
  <si>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</si>
  <si>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</si>
  <si>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</si>
  <si>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</si>
  <si>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</si>
  <si>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</si>
  <si>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</si>
  <si>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</si>
  <si>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</si>
  <si>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</si>
  <si>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</si>
  <si>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</si>
  <si>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</si>
  <si>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</si>
  <si>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</si>
  <si>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</si>
  <si>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</si>
  <si>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</si>
  <si>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</si>
  <si>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</si>
  <si>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</si>
  <si>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</si>
  <si>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</si>
  <si>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</si>
  <si>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</si>
  <si>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</si>
  <si>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</si>
  <si>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</si>
  <si>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</si>
  <si>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</si>
  <si>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</si>
  <si>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</si>
  <si>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</si>
  <si>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</si>
  <si>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</si>
  <si>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</si>
  <si>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</si>
  <si>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</si>
  <si>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</si>
  <si>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</si>
  <si>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</si>
  <si>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</si>
  <si>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</si>
  <si>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</si>
  <si>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</si>
  <si>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</si>
  <si>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</si>
  <si>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</si>
  <si>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</si>
  <si>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</si>
  <si>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</si>
  <si>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</si>
  <si>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</si>
  <si>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</si>
  <si>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</si>
  <si>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</si>
  <si>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</si>
  <si>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</si>
  <si>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</si>
  <si>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</si>
  <si>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</si>
  <si>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</si>
  <si>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</si>
  <si>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</si>
  <si>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</si>
  <si>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</si>
  <si>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</si>
  <si>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</si>
  <si>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</si>
  <si>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</si>
  <si>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</si>
  <si>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</si>
  <si>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</si>
  <si>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</si>
  <si>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</si>
  <si>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</si>
  <si>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</si>
  <si>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</si>
  <si>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</si>
  <si>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</si>
  <si>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</si>
  <si>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</si>
  <si>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</si>
  <si>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</si>
  <si>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</si>
  <si>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</si>
  <si>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</si>
  <si>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</si>
  <si>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</si>
  <si>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</si>
  <si>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</si>
  <si>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</si>
  <si>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</si>
  <si>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</si>
  <si>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</si>
  <si>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</si>
  <si>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</si>
  <si>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</si>
  <si>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</si>
  <si>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</si>
  <si>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</si>
  <si>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</si>
  <si>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</si>
  <si>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</si>
  <si>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</si>
  <si>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</si>
  <si>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</si>
  <si>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</si>
  <si>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</si>
  <si>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</si>
  <si>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</si>
  <si>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</si>
  <si>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</si>
  <si>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</si>
  <si>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</si>
  <si>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</si>
  <si>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</si>
  <si>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</si>
  <si>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</si>
  <si>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</si>
  <si>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</si>
  <si>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</si>
  <si>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</si>
  <si>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</si>
  <si>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</si>
  <si>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</si>
  <si>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</si>
  <si>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</si>
  <si>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</si>
  <si>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</si>
  <si>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</si>
  <si>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</si>
  <si>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</si>
  <si>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</si>
  <si>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</si>
  <si>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</si>
  <si>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</si>
  <si>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</si>
  <si>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</si>
  <si>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</si>
  <si>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</si>
  <si>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</si>
  <si>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</si>
  <si>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</si>
  <si>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</si>
  <si>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</si>
  <si>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</si>
  <si>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</si>
  <si>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</si>
  <si>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</si>
  <si>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</si>
  <si>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</si>
  <si>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</si>
  <si>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</si>
  <si>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</si>
  <si>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</si>
  <si>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</si>
  <si>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</si>
  <si>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</si>
  <si>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</si>
  <si>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</si>
  <si>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</si>
  <si>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</si>
  <si>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</si>
  <si>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</si>
  <si>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</si>
  <si>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</si>
  <si>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</si>
  <si>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</si>
  <si>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</si>
  <si>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</si>
  <si>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</si>
  <si>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</si>
  <si>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</si>
  <si>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</si>
  <si>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</si>
  <si>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</si>
  <si>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</si>
  <si>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</si>
  <si>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</si>
  <si>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</si>
  <si>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</si>
  <si>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</si>
  <si>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</si>
  <si>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</si>
  <si>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</si>
  <si>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</si>
  <si>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</si>
  <si>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</si>
  <si>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</si>
  <si>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</si>
  <si>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</si>
  <si>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</si>
  <si>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</si>
  <si>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</si>
  <si>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</si>
  <si>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</si>
  <si>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</si>
  <si>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</si>
  <si>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</si>
  <si>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</si>
  <si>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</si>
  <si>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</si>
  <si>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</si>
  <si>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</si>
  <si>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</si>
  <si>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</si>
  <si>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</si>
  <si>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</si>
  <si>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</si>
  <si>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</si>
  <si>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</si>
  <si>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</si>
  <si>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</si>
  <si>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</si>
  <si>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</si>
  <si>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</si>
  <si>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</si>
  <si>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</si>
  <si>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</si>
  <si>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</si>
  <si>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</si>
  <si>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</si>
  <si>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</si>
  <si>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</si>
  <si>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</si>
  <si>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</si>
  <si>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</si>
  <si>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</si>
  <si>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</si>
  <si>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</si>
  <si>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</si>
  <si>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</si>
  <si>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</si>
  <si>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</si>
  <si>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</si>
  <si>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</si>
  <si>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</si>
  <si>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</si>
  <si>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</si>
  <si>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</si>
  <si>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</si>
  <si>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</si>
  <si>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</si>
  <si>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</si>
  <si>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</si>
  <si>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</si>
  <si>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</si>
  <si>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</si>
  <si>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</si>
  <si>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</si>
  <si>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</si>
  <si>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</si>
  <si>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</si>
  <si>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</si>
  <si>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</si>
  <si>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</si>
  <si>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</si>
  <si>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</si>
  <si>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</si>
  <si>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</si>
  <si>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</si>
  <si>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</si>
  <si>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</si>
  <si>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</si>
  <si>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</si>
  <si>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</si>
  <si>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</si>
  <si>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</si>
  <si>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</si>
  <si>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</si>
  <si>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</si>
  <si>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</si>
  <si>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</si>
  <si>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</si>
  <si>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</si>
  <si>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</si>
  <si>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</si>
  <si>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</si>
  <si>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</si>
  <si>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</si>
  <si>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</si>
  <si>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</si>
  <si>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</si>
  <si>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</si>
  <si>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</si>
  <si>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</si>
  <si>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</si>
  <si>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</si>
  <si>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</si>
  <si>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</si>
  <si>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</si>
  <si>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</si>
  <si>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</si>
  <si>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</si>
  <si>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</si>
  <si>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</si>
  <si>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</si>
  <si>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</si>
  <si>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</si>
  <si>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</si>
  <si>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</si>
  <si>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</si>
  <si>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</si>
  <si>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</si>
  <si>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</si>
  <si>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</si>
  <si>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</si>
  <si>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</si>
  <si>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</si>
  <si>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</si>
  <si>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</si>
  <si>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</si>
  <si>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</si>
  <si>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</si>
  <si>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</si>
  <si>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</si>
  <si>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</si>
  <si>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</si>
  <si>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</si>
  <si>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</si>
  <si>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</si>
  <si>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</si>
  <si>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</si>
  <si>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</si>
  <si>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</si>
  <si>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</si>
  <si>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</si>
  <si>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</si>
  <si>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</si>
  <si>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</si>
  <si>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</si>
  <si>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</si>
  <si>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</si>
  <si>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</si>
  <si>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</si>
  <si>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</si>
  <si>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</si>
  <si>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</si>
  <si>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</si>
  <si>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</si>
  <si>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</si>
  <si>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</si>
  <si>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</si>
  <si>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</si>
  <si>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</si>
  <si>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</si>
  <si>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</si>
  <si>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</si>
  <si>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</si>
  <si>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</si>
  <si>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</si>
  <si>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</si>
  <si>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</si>
  <si>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</si>
  <si>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</si>
  <si>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</si>
  <si>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</si>
  <si>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</si>
  <si>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</si>
  <si>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</si>
  <si>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</si>
  <si>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</si>
  <si>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</si>
  <si>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</si>
  <si>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</si>
  <si>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</si>
  <si>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</si>
  <si>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</si>
  <si>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</si>
  <si>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</si>
  <si>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</si>
  <si>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</si>
  <si>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</si>
  <si>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</si>
  <si>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</si>
  <si>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</si>
  <si>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</si>
  <si>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</si>
  <si>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</si>
  <si>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</si>
  <si>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</si>
  <si>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</si>
  <si>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</si>
  <si>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</si>
  <si>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</si>
  <si>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</si>
  <si>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</si>
  <si>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</si>
  <si>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</si>
  <si>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</si>
  <si>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</si>
  <si>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</si>
  <si>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</si>
  <si>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</si>
  <si>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</si>
  <si>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</si>
  <si>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</si>
  <si>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</si>
  <si>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</si>
  <si>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</si>
  <si>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</si>
  <si>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</si>
  <si>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</si>
  <si>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</si>
  <si>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</si>
  <si>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</si>
  <si>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</si>
  <si>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</si>
  <si>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</si>
  <si>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</si>
  <si>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</si>
  <si>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</si>
  <si>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</si>
  <si>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</si>
  <si>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</si>
  <si>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</si>
  <si>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</si>
  <si>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</si>
  <si>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</si>
  <si>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</si>
  <si>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</si>
  <si>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</si>
  <si>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</si>
  <si>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</si>
  <si>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</si>
  <si>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</si>
  <si>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</si>
  <si>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</si>
  <si>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</si>
  <si>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</si>
  <si>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</si>
  <si>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</si>
  <si>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</si>
  <si>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</si>
  <si>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</si>
  <si>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</si>
  <si>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</si>
  <si>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</si>
  <si>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</si>
  <si>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</si>
  <si>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</si>
  <si>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</si>
  <si>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</si>
  <si>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</si>
  <si>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</si>
  <si>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</si>
  <si>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</si>
  <si>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</si>
  <si>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</si>
  <si>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</si>
  <si>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</si>
  <si>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</si>
  <si>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</si>
  <si>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</si>
  <si>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</si>
  <si>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</si>
  <si>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</si>
  <si>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</si>
  <si>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</si>
  <si>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</si>
  <si>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</si>
  <si>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</si>
  <si>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</si>
  <si>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</si>
  <si>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</si>
  <si>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</si>
  <si>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</si>
  <si>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</si>
  <si>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</si>
  <si>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</si>
  <si>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</si>
  <si>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</si>
  <si>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</si>
  <si>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</si>
  <si>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</si>
  <si>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</si>
  <si>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</si>
  <si>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</si>
  <si>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</si>
  <si>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</si>
  <si>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</si>
  <si>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</si>
  <si>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</si>
  <si>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</si>
  <si>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</si>
  <si>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</si>
  <si>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</si>
  <si>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</si>
  <si>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</si>
  <si>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</si>
  <si>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</si>
  <si>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</si>
  <si>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</si>
  <si>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</si>
  <si>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</si>
  <si>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</si>
  <si>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</si>
  <si>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</si>
  <si>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</si>
  <si>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</si>
  <si>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</si>
  <si>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</si>
  <si>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</si>
  <si>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</si>
  <si>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</si>
  <si>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</si>
  <si>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</si>
  <si>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</si>
  <si>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</si>
  <si>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</si>
  <si>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</si>
  <si>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</si>
  <si>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</si>
  <si>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</si>
  <si>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</si>
  <si>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</si>
  <si>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</si>
  <si>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</si>
  <si>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</si>
  <si>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</si>
  <si>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</si>
  <si>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</si>
  <si>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</si>
  <si>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</si>
  <si>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</si>
  <si>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</si>
  <si>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</si>
  <si>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</si>
  <si>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</si>
  <si>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</si>
  <si>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</si>
  <si>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</si>
  <si>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</si>
  <si>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</si>
  <si>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</si>
  <si>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</si>
  <si>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</si>
  <si>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</si>
  <si>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</si>
  <si>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</si>
  <si>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</si>
  <si>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</si>
  <si>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</si>
  <si>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</si>
  <si>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</si>
  <si>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</si>
  <si>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</si>
  <si>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</si>
  <si>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</si>
  <si>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</si>
  <si>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</si>
  <si>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</si>
  <si>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</si>
  <si>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</si>
  <si>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</si>
  <si>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</si>
  <si>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</si>
  <si>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</si>
  <si>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</si>
  <si>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</si>
  <si>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</si>
  <si>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</si>
  <si>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</si>
  <si>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</si>
  <si>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</si>
  <si>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</si>
  <si>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</si>
  <si>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</si>
  <si>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</si>
  <si>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</si>
  <si>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</si>
  <si>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</si>
  <si>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</si>
  <si>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</si>
  <si>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</si>
  <si>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</si>
  <si>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</si>
  <si>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</si>
  <si>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</si>
  <si>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</si>
  <si>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</si>
  <si>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</si>
  <si>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</si>
  <si>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</si>
  <si>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</si>
  <si>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</si>
  <si>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</si>
  <si>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</si>
  <si>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</si>
  <si>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</si>
  <si>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</si>
  <si>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</si>
  <si>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</si>
  <si>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</si>
  <si>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</si>
  <si>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</si>
  <si>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</si>
  <si>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</si>
  <si>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</si>
  <si>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</si>
  <si>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</si>
  <si>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</si>
  <si>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</si>
  <si>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</si>
  <si>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</si>
  <si>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</si>
  <si>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</si>
  <si>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</si>
  <si>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</si>
  <si>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</si>
  <si>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</si>
  <si>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</si>
  <si>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</si>
  <si>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</si>
  <si>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</si>
  <si>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</si>
  <si>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</si>
  <si>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</si>
  <si>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</si>
  <si>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</si>
  <si>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</si>
  <si>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</si>
  <si>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</si>
  <si>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</si>
  <si>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</si>
  <si>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</si>
  <si>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</si>
  <si>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</si>
  <si>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</si>
  <si>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</si>
  <si>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</si>
  <si>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</si>
  <si>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</si>
  <si>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</si>
  <si>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</si>
  <si>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</si>
  <si>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</si>
  <si>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</si>
  <si>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</si>
  <si>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</si>
  <si>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</si>
  <si>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</si>
  <si>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</si>
  <si>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</si>
  <si>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</si>
  <si>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</si>
  <si>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</si>
  <si>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</si>
  <si>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</si>
  <si>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</si>
  <si>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</si>
  <si>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</si>
  <si>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</si>
  <si>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</si>
  <si>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</si>
  <si>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</si>
  <si>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</si>
  <si>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</si>
  <si>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</si>
  <si>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</si>
  <si>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</si>
  <si>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</si>
  <si>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</si>
  <si>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</si>
  <si>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</si>
  <si>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</si>
  <si>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</si>
  <si>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</si>
  <si>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</si>
  <si>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</si>
  <si>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</si>
  <si>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</si>
  <si>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</si>
  <si>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</si>
  <si>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</si>
  <si>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</si>
  <si>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</si>
  <si>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</si>
  <si>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</si>
  <si>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</si>
  <si>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</si>
  <si>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</si>
  <si>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</si>
  <si>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</si>
  <si>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</si>
  <si>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</si>
  <si>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</si>
  <si>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</si>
  <si>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</si>
  <si>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</si>
  <si>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</si>
  <si>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</si>
  <si>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</si>
  <si>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</si>
  <si>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</si>
  <si>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</si>
  <si>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</si>
  <si>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</si>
  <si>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</si>
  <si>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</si>
  <si>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</si>
  <si>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</si>
  <si>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</si>
  <si>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</si>
  <si>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</si>
  <si>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</si>
  <si>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</si>
  <si>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</si>
  <si>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</si>
  <si>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</si>
  <si>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</si>
  <si>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</si>
  <si>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</si>
  <si>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</si>
  <si>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</si>
  <si>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</si>
  <si>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</si>
  <si>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</si>
  <si>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</si>
  <si>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</si>
  <si>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</si>
  <si>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</si>
  <si>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</si>
  <si>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</si>
  <si>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</si>
  <si>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</si>
  <si>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</si>
  <si>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</si>
  <si>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</si>
  <si>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</si>
  <si>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</si>
  <si>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</si>
  <si>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</si>
  <si>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</si>
  <si>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</si>
  <si>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</si>
  <si>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</si>
  <si>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</si>
  <si>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</si>
  <si>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</si>
  <si>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</si>
  <si>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</si>
  <si>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</si>
  <si>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</si>
  <si>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</si>
  <si>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</si>
  <si>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</si>
  <si>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</si>
  <si>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</si>
  <si>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</si>
  <si>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</si>
  <si>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</si>
  <si>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</si>
  <si>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</si>
  <si>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</si>
  <si>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</si>
  <si>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</si>
  <si>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</si>
  <si>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</si>
  <si>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</si>
  <si>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</si>
  <si>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</si>
  <si>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</si>
  <si>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</si>
  <si>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</si>
  <si>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</si>
  <si>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</si>
  <si>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</si>
  <si>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</si>
  <si>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</si>
  <si>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</si>
  <si>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</si>
  <si>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</si>
  <si>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</si>
  <si>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</si>
  <si>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</si>
  <si>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</si>
  <si>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</si>
  <si>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</si>
  <si>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</si>
  <si>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</si>
  <si>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</si>
  <si>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</si>
  <si>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</si>
  <si>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</si>
  <si>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</si>
  <si>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</si>
  <si>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</si>
  <si>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</si>
  <si>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</si>
  <si>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</si>
  <si>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</si>
  <si>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</si>
  <si>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</si>
  <si>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</si>
  <si>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</si>
  <si>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</si>
  <si>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</si>
  <si>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</si>
  <si>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</si>
  <si>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</si>
  <si>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</si>
  <si>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</si>
  <si>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</si>
  <si>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</si>
  <si>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</si>
  <si>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</si>
  <si>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</si>
  <si>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</si>
  <si>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</si>
  <si>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</si>
  <si>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</si>
  <si>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</si>
  <si>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</si>
  <si>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</si>
  <si>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</si>
  <si>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</si>
  <si>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</si>
  <si>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</si>
  <si>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</si>
  <si>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</si>
  <si>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</si>
  <si>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</si>
  <si>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</si>
  <si>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</si>
  <si>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</si>
  <si>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</si>
  <si>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</si>
  <si>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</si>
  <si>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</si>
  <si>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</si>
  <si>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</si>
  <si>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</si>
  <si>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</si>
  <si>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</si>
  <si>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</si>
  <si>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</si>
  <si>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</si>
  <si>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</si>
  <si>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</si>
  <si>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</si>
  <si>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</si>
  <si>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</si>
  <si>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</si>
  <si>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</si>
  <si>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</si>
  <si>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</si>
  <si>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</si>
  <si>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</si>
  <si>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</si>
  <si>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</si>
  <si>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</si>
  <si>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</si>
  <si>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</si>
  <si>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</si>
  <si>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</si>
  <si>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</si>
  <si>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</si>
  <si>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</si>
  <si>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</si>
  <si>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</si>
  <si>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</si>
  <si>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</si>
  <si>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</si>
  <si>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</si>
  <si>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</si>
  <si>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</si>
  <si>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</si>
  <si>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</si>
  <si>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</si>
  <si>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</si>
  <si>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</si>
  <si>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</si>
  <si>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</si>
  <si>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</si>
  <si>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</si>
  <si>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</si>
  <si>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</si>
  <si>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</si>
  <si>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</si>
  <si>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</si>
  <si>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</si>
  <si>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</si>
  <si>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</si>
  <si>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</si>
  <si>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</si>
  <si>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</si>
  <si>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</si>
  <si>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</si>
  <si>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</si>
  <si>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</si>
  <si>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</si>
  <si>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</si>
  <si>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</si>
  <si>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</si>
  <si>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</si>
  <si>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</si>
  <si>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</si>
  <si>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</si>
  <si>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</si>
  <si>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</si>
  <si>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</si>
  <si>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</si>
  <si>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</si>
  <si>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</si>
  <si>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</si>
  <si>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</si>
  <si>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</si>
  <si>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</si>
  <si>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</si>
  <si>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</si>
  <si>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</si>
  <si>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</si>
  <si>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</si>
  <si>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</si>
  <si>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</si>
  <si>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</si>
  <si>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</si>
  <si>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</si>
  <si>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</si>
  <si>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</si>
  <si>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</si>
  <si>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</si>
  <si>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</si>
  <si>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</si>
  <si>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</si>
  <si>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</si>
  <si>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</si>
  <si>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</si>
  <si>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</si>
  <si>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</si>
  <si>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</si>
  <si>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</si>
  <si>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</si>
  <si>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</si>
  <si>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</si>
  <si>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</si>
  <si>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</si>
  <si>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</si>
  <si>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</si>
  <si>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</si>
  <si>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</si>
  <si>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</si>
  <si>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</si>
  <si>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</si>
  <si>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</si>
  <si>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</si>
  <si>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</si>
  <si>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</si>
  <si>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</si>
  <si>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</si>
  <si>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</si>
  <si>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</si>
  <si>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</si>
  <si>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</si>
  <si>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</si>
  <si>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</si>
  <si>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</si>
  <si>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</si>
  <si>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</si>
  <si>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</si>
  <si>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</si>
  <si>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</si>
  <si>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</si>
  <si>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</si>
  <si>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</si>
  <si>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</si>
  <si>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</si>
  <si>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</si>
  <si>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</si>
  <si>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</si>
  <si>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</si>
  <si>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</si>
  <si>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</si>
  <si>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</si>
  <si>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</si>
  <si>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</si>
  <si>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</si>
  <si>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</si>
  <si>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</si>
  <si>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</si>
  <si>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</si>
  <si>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</si>
  <si>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</si>
  <si>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</si>
  <si>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</si>
  <si>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</si>
  <si>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</si>
  <si>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</si>
  <si>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</si>
  <si>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</si>
  <si>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</si>
  <si>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</si>
  <si>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</si>
  <si>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</si>
  <si>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</si>
  <si>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</si>
  <si>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</si>
  <si>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</si>
  <si>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</si>
  <si>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</si>
  <si>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</si>
  <si>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</si>
  <si>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</si>
  <si>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</si>
  <si>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</si>
  <si>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</si>
  <si>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</si>
  <si>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</si>
  <si>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</si>
  <si>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</si>
  <si>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</si>
  <si>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</si>
  <si>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</si>
  <si>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</si>
  <si>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</si>
  <si>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</si>
  <si>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</si>
  <si>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</si>
  <si>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</si>
  <si>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</si>
  <si>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</si>
  <si>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</si>
  <si>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</si>
  <si>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</si>
  <si>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</si>
  <si>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</si>
  <si>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</si>
  <si>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</si>
  <si>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</si>
  <si>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</si>
  <si>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</si>
  <si>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</si>
  <si>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</si>
  <si>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</si>
  <si>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</si>
  <si>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</si>
  <si>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</si>
  <si>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</si>
  <si>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</si>
  <si>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</si>
  <si>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</si>
  <si>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</si>
  <si>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</si>
  <si>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</si>
  <si>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</si>
  <si>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</si>
  <si>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</si>
  <si>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</si>
  <si>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</si>
  <si>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</si>
  <si>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</si>
  <si>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</si>
  <si>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</si>
  <si>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</si>
  <si>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</si>
  <si>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</si>
  <si>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</si>
  <si>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</si>
  <si>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</si>
  <si>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</si>
  <si>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</si>
  <si>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</si>
  <si>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</si>
  <si>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</si>
  <si>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</si>
  <si>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</si>
  <si>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</si>
  <si>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</si>
  <si>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</si>
  <si>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</si>
  <si>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</si>
  <si>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</si>
  <si>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</si>
  <si>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</si>
  <si>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</si>
  <si>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</si>
  <si>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</si>
  <si>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</si>
  <si>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</si>
  <si>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</si>
  <si>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</si>
  <si>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</si>
  <si>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</si>
  <si>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</si>
  <si>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</si>
  <si>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</si>
  <si>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</si>
  <si>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</si>
  <si>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</si>
  <si>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</si>
  <si>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</si>
  <si>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</si>
  <si>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</si>
  <si>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</si>
  <si>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</si>
  <si>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</si>
  <si>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</si>
  <si>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</si>
  <si>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</si>
  <si>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</si>
  <si>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</si>
  <si>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</si>
  <si>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</si>
  <si>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</si>
  <si>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</si>
  <si>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</si>
  <si>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</si>
  <si>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</si>
  <si>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</si>
  <si>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</si>
  <si>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</si>
  <si>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</si>
  <si>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</si>
  <si>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</si>
  <si>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</si>
  <si>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</si>
  <si>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</si>
  <si>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</si>
  <si>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</si>
  <si>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</si>
  <si>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</si>
  <si>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</si>
  <si>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</si>
  <si>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</si>
  <si>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</si>
  <si>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</si>
  <si>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</si>
  <si>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</si>
  <si>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</si>
  <si>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</si>
  <si>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</si>
  <si>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</si>
  <si>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</si>
  <si>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</si>
  <si>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</si>
  <si>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</si>
  <si>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</si>
  <si>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</si>
  <si>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</si>
  <si>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</si>
  <si>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</si>
  <si>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</si>
  <si>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</si>
  <si>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</si>
  <si>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</si>
  <si>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</si>
  <si>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</si>
  <si>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</si>
  <si>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</si>
  <si>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</si>
  <si>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</si>
  <si>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</si>
  <si>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</si>
  <si>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</si>
  <si>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</si>
  <si>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</si>
  <si>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</si>
  <si>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</si>
  <si>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</si>
  <si>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</si>
  <si>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</si>
  <si>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</si>
  <si>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</si>
  <si>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</si>
  <si>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</si>
  <si>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</si>
  <si>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</si>
  <si>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</si>
  <si>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</si>
  <si>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</si>
  <si>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</si>
  <si>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</si>
  <si>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</si>
  <si>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</si>
  <si>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</si>
  <si>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</si>
  <si>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</si>
  <si>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</si>
  <si>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</si>
  <si>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</si>
  <si>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</si>
  <si>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</si>
  <si>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</si>
  <si>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</si>
  <si>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</si>
  <si>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</si>
  <si>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</si>
  <si>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</si>
  <si>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</si>
  <si>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</si>
  <si>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</si>
  <si>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</si>
  <si>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</si>
  <si>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</si>
  <si>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</si>
  <si>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</si>
  <si>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</si>
  <si>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</si>
  <si>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</si>
  <si>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</si>
  <si>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</si>
  <si>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</si>
  <si>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</si>
  <si>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</si>
  <si>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</si>
  <si>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</si>
  <si>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</si>
  <si>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</si>
  <si>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</si>
  <si>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</si>
  <si>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</si>
  <si>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</si>
  <si>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</si>
  <si>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</si>
  <si>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</si>
  <si>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</si>
  <si>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</si>
  <si>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</si>
  <si>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</si>
  <si>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</si>
  <si>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</si>
  <si>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</si>
  <si>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</si>
  <si>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</si>
  <si>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</si>
  <si>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</si>
  <si>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</si>
  <si>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</si>
  <si>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</si>
  <si>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</si>
  <si>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</si>
  <si>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</si>
  <si>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</si>
  <si>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</si>
  <si>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</si>
  <si>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</si>
  <si>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</si>
  <si>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</si>
  <si>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</si>
  <si>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</si>
  <si>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</si>
  <si>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</si>
  <si>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</si>
  <si>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</si>
  <si>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</si>
  <si>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</si>
  <si>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</si>
  <si>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</si>
  <si>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</si>
  <si>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</si>
  <si>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</si>
  <si>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</si>
  <si>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</si>
  <si>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</si>
  <si>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</si>
  <si>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</si>
  <si>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</si>
  <si>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</si>
  <si>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</si>
  <si>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</si>
  <si>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</si>
  <si>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</si>
  <si>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</si>
  <si>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</si>
  <si>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</si>
  <si>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</si>
  <si>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</si>
  <si>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</si>
  <si>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</si>
  <si>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</si>
  <si>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</si>
  <si>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</si>
  <si>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</si>
  <si>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</si>
  <si>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</si>
  <si>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</si>
  <si>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</si>
  <si>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</si>
  <si>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</si>
  <si>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</si>
  <si>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</si>
  <si>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</si>
  <si>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</si>
  <si>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</si>
  <si>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</si>
  <si>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</si>
  <si>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</si>
  <si>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</si>
  <si>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</si>
  <si>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</si>
  <si>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</si>
  <si>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</si>
  <si>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</si>
  <si>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</si>
  <si>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</si>
  <si>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</si>
  <si>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</si>
  <si>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</si>
  <si>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</si>
  <si>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</si>
  <si>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</si>
  <si>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</si>
  <si>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</si>
  <si>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</si>
  <si>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</si>
  <si>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</si>
  <si>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</si>
  <si>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</si>
  <si>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</si>
  <si>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</si>
  <si>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</si>
  <si>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</si>
  <si>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</si>
  <si>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</si>
  <si>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</si>
  <si>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</si>
  <si>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</si>
  <si>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</si>
  <si>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</si>
  <si>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</si>
  <si>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</si>
  <si>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</si>
  <si>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</si>
  <si>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</si>
  <si>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</si>
  <si>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</si>
  <si>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</si>
  <si>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</si>
  <si>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</si>
  <si>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</si>
  <si>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</si>
  <si>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</si>
  <si>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</si>
  <si>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</si>
  <si>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</si>
  <si>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</si>
  <si>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</si>
  <si>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</si>
  <si>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</si>
  <si>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</si>
  <si>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</si>
  <si>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</si>
  <si>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</si>
  <si>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</si>
  <si>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</si>
  <si>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</si>
  <si>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</si>
  <si>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</si>
  <si>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</si>
  <si>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</si>
  <si>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</si>
  <si>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</si>
  <si>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</si>
  <si>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</si>
  <si>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</si>
  <si>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</si>
  <si>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</si>
  <si>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</si>
  <si>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</si>
  <si>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</si>
  <si>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</si>
  <si>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</si>
  <si>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</si>
  <si>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</si>
  <si>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</si>
  <si>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</si>
  <si>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</si>
  <si>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</si>
  <si>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</si>
  <si>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</si>
  <si>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</si>
  <si>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</si>
  <si>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</si>
  <si>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</si>
  <si>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</si>
  <si>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</si>
  <si>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</si>
  <si>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</si>
  <si>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</si>
  <si>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</si>
  <si>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</si>
  <si>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</si>
  <si>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</si>
  <si>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</si>
  <si>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</si>
  <si>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</si>
  <si>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</si>
  <si>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</si>
  <si>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</si>
  <si>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</si>
  <si>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</si>
  <si>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</si>
  <si>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</si>
  <si>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</si>
  <si>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</si>
  <si>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</si>
  <si>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</si>
  <si>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</si>
  <si>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</si>
  <si>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</si>
  <si>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</si>
  <si>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</si>
  <si>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</si>
  <si>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</si>
  <si>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</si>
  <si>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</si>
  <si>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</si>
  <si>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</si>
  <si>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</si>
  <si>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</si>
  <si>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</si>
  <si>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</si>
  <si>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</si>
  <si>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</si>
  <si>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</si>
  <si>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</si>
  <si>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</si>
  <si>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</si>
  <si>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</si>
  <si>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</si>
  <si>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</si>
  <si>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</si>
  <si>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</si>
  <si>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</si>
  <si>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</si>
  <si>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</si>
  <si>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</si>
  <si>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</si>
  <si>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</si>
  <si>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</si>
  <si>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</si>
  <si>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</si>
  <si>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</si>
  <si>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</si>
  <si>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</si>
  <si>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</si>
  <si>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</si>
  <si>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</si>
  <si>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</si>
  <si>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</si>
  <si>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</si>
  <si>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</si>
  <si>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</si>
  <si>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</si>
  <si>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</si>
  <si>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</si>
  <si>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</si>
  <si>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</si>
  <si>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</si>
  <si>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</si>
  <si>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</si>
  <si>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</si>
  <si>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</si>
  <si>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</si>
  <si>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</si>
  <si>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</si>
  <si>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</si>
  <si>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</si>
  <si>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</si>
  <si>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</si>
  <si>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</si>
  <si>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</si>
  <si>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</si>
  <si>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</si>
  <si>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</si>
  <si>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</si>
  <si>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</si>
  <si>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</si>
  <si>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</si>
  <si>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</si>
  <si>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</si>
  <si>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</si>
  <si>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</si>
  <si>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</si>
  <si>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</si>
  <si>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</si>
  <si>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</si>
  <si>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</si>
  <si>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</si>
  <si>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</si>
  <si>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</si>
  <si>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</si>
  <si>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</si>
  <si>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</si>
  <si>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</si>
  <si>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</si>
  <si>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</si>
  <si>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</si>
  <si>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</si>
  <si>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</si>
  <si>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</si>
  <si>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</si>
  <si>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</si>
  <si>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</si>
  <si>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</si>
  <si>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</si>
  <si>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</si>
  <si>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</si>
  <si>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</si>
  <si>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</si>
  <si>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</si>
  <si>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</si>
  <si>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</si>
  <si>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</si>
  <si>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</si>
  <si>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</si>
  <si>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</si>
  <si>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</si>
  <si>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</si>
  <si>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</si>
  <si>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</si>
  <si>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</si>
  <si>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</si>
  <si>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</si>
  <si>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</si>
  <si>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</si>
  <si>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</si>
  <si>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</si>
  <si>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</si>
  <si>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</si>
  <si>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</si>
  <si>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</si>
  <si>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</si>
  <si>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</si>
  <si>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</si>
  <si>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</si>
  <si>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</si>
  <si>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</si>
  <si>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</si>
  <si>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</si>
  <si>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</si>
  <si>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</si>
  <si>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</si>
  <si>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</si>
  <si>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</si>
  <si>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</si>
  <si>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</si>
  <si>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</si>
  <si>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</si>
  <si>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</si>
  <si>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</si>
  <si>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</si>
  <si>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</si>
  <si>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</si>
  <si>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</si>
  <si>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</si>
  <si>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</si>
  <si>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</si>
  <si>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</si>
  <si>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</si>
  <si>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</si>
  <si>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</si>
  <si>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</si>
  <si>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</si>
  <si>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</si>
  <si>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</si>
  <si>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</si>
  <si>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</si>
  <si>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</si>
  <si>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</si>
  <si>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</si>
  <si>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</si>
  <si>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</si>
  <si>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</si>
  <si>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</si>
  <si>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</si>
  <si>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</si>
  <si>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</si>
  <si>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</si>
  <si>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</si>
  <si>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</si>
  <si>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</si>
  <si>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</si>
  <si>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</si>
  <si>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</si>
  <si>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</si>
  <si>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</si>
  <si>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</si>
  <si>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</si>
  <si>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</si>
  <si>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</si>
  <si>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</si>
  <si>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</si>
  <si>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</si>
  <si>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</si>
  <si>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</si>
  <si>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</si>
  <si>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</si>
  <si>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</si>
  <si>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</si>
  <si>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</si>
  <si>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</si>
  <si>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</si>
  <si>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</si>
  <si>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</si>
  <si>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</si>
  <si>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</si>
  <si>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</si>
  <si>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</si>
  <si>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</si>
  <si>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</si>
  <si>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</si>
  <si>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</si>
  <si>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</si>
  <si>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</si>
  <si>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</si>
  <si>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</si>
  <si>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</si>
  <si>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</si>
  <si>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</si>
  <si>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</si>
  <si>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</si>
  <si>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</si>
  <si>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</si>
  <si>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</si>
  <si>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</si>
  <si>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</si>
  <si>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</si>
  <si>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</si>
  <si>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</si>
  <si>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</si>
  <si>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</si>
  <si>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</si>
  <si>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</si>
  <si>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</si>
  <si>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</si>
  <si>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</si>
  <si>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</si>
  <si>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</si>
  <si>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</si>
  <si>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</si>
  <si>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</si>
  <si>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</si>
  <si>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</si>
  <si>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</si>
  <si>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</si>
  <si>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</si>
  <si>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</si>
  <si>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</si>
  <si>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</si>
  <si>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</si>
  <si>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</si>
  <si>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</si>
  <si>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</si>
  <si>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</si>
  <si>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</si>
  <si>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</si>
  <si>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</si>
  <si>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</si>
  <si>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</si>
  <si>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</si>
  <si>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</si>
  <si>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</si>
  <si>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</si>
  <si>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</si>
  <si>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</si>
  <si>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</si>
  <si>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</si>
  <si>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</si>
  <si>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</si>
  <si>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</si>
  <si>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</si>
  <si>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</si>
  <si>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</si>
  <si>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</si>
  <si>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</si>
  <si>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</si>
  <si>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</si>
  <si>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</si>
  <si>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</si>
  <si>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</si>
  <si>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</si>
  <si>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</si>
  <si>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</si>
  <si>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</si>
  <si>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</si>
  <si>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</si>
  <si>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</si>
  <si>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</si>
  <si>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</si>
  <si>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</si>
  <si>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</si>
  <si>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</si>
  <si>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</si>
  <si>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</si>
  <si>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</si>
  <si>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</si>
  <si>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</si>
  <si>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</si>
  <si>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</si>
  <si>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</si>
  <si>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</si>
  <si>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</si>
  <si>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</si>
  <si>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</si>
  <si>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</si>
  <si>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</si>
  <si>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</si>
  <si>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</si>
  <si>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</si>
  <si>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</si>
  <si>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</si>
  <si>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</si>
  <si>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</si>
  <si>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</si>
  <si>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</si>
  <si>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</si>
  <si>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</si>
  <si>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</si>
  <si>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</si>
  <si>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</si>
  <si>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</si>
  <si>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</si>
  <si>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</si>
  <si>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</si>
  <si>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</si>
  <si>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</si>
  <si>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</si>
  <si>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</si>
  <si>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</si>
  <si>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</si>
  <si>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</si>
  <si>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</si>
  <si>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</si>
  <si>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</si>
  <si>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</si>
  <si>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</si>
  <si>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</si>
  <si>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</si>
  <si>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</si>
  <si>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</si>
  <si>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</si>
  <si>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</si>
  <si>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</si>
  <si>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</si>
  <si>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</si>
  <si>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</si>
  <si>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</si>
  <si>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</si>
  <si>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</si>
  <si>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</si>
  <si>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</si>
  <si>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</si>
  <si>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</si>
  <si>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</si>
  <si>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</si>
  <si>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</si>
  <si>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</si>
  <si>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</si>
  <si>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</si>
  <si>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</si>
  <si>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</si>
  <si>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</si>
  <si>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</si>
  <si>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</si>
  <si>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</si>
  <si>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</si>
  <si>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</si>
  <si>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</si>
  <si>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</si>
  <si>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</si>
  <si>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</si>
  <si>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</si>
  <si>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</si>
  <si>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</si>
  <si>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</si>
  <si>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</si>
  <si>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</si>
  <si>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</si>
  <si>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</si>
  <si>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</si>
  <si>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</si>
  <si>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</si>
  <si>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</si>
  <si>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</si>
  <si>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</si>
  <si>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</si>
  <si>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</si>
  <si>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</si>
  <si>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</si>
  <si>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</si>
  <si>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</si>
  <si>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</si>
  <si>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</si>
  <si>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</si>
  <si>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</si>
  <si>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</si>
  <si>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</si>
  <si>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</si>
  <si>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</si>
  <si>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</si>
  <si>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</si>
  <si>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</si>
  <si>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</si>
  <si>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</si>
  <si>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</si>
  <si>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</si>
  <si>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</si>
  <si>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</si>
  <si>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</si>
  <si>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</si>
  <si>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</si>
  <si>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</si>
  <si>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</si>
  <si>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</si>
  <si>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</si>
  <si>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</si>
  <si>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</si>
  <si>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</si>
  <si>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</si>
  <si>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</si>
  <si>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</si>
  <si>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</si>
  <si>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</si>
  <si>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</si>
  <si>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</si>
  <si>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</si>
  <si>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</si>
  <si>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</si>
  <si>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</si>
  <si>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</si>
  <si>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</si>
  <si>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</si>
  <si>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</si>
  <si>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</si>
  <si>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</si>
  <si>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</si>
  <si>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</si>
  <si>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</si>
  <si>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</si>
  <si>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</si>
  <si>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</si>
  <si>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</si>
  <si>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</si>
  <si>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</si>
  <si>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</si>
  <si>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</si>
  <si>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</si>
  <si>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</si>
  <si>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</si>
  <si>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</si>
  <si>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</si>
  <si>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</si>
  <si>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</si>
  <si>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</si>
  <si>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</si>
  <si>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</si>
  <si>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</si>
  <si>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</si>
  <si>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</si>
  <si>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</si>
  <si>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</si>
  <si>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</si>
  <si>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</si>
  <si>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</si>
  <si>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</si>
  <si>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</si>
  <si>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</si>
  <si>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</si>
  <si>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</si>
  <si>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</si>
  <si>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</si>
  <si>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</si>
  <si>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</si>
  <si>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</si>
  <si>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</si>
  <si>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</si>
  <si>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</si>
  <si>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</si>
  <si>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</si>
  <si>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</si>
  <si>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</si>
  <si>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</si>
  <si>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</si>
  <si>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</si>
  <si>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</si>
  <si>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</si>
  <si>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</si>
  <si>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</si>
  <si>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</si>
  <si>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</si>
  <si>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</si>
  <si>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</si>
  <si>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</si>
  <si>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</si>
  <si>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</si>
  <si>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</si>
  <si>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</si>
  <si>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</si>
  <si>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</si>
  <si>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</si>
  <si>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</si>
  <si>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</si>
  <si>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</si>
  <si>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</si>
  <si>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</si>
  <si>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</si>
  <si>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</si>
  <si>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</si>
  <si>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</si>
  <si>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</si>
  <si>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</si>
  <si>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</si>
  <si>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</si>
  <si>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</si>
  <si>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</si>
  <si>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</si>
  <si>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</si>
  <si>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</si>
  <si>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</si>
  <si>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</si>
  <si>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</si>
  <si>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</si>
  <si>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</si>
  <si>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</si>
  <si>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</si>
  <si>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</si>
  <si>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</si>
  <si>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</si>
  <si>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</si>
  <si>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</si>
  <si>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</si>
  <si>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</si>
  <si>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</si>
  <si>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</si>
  <si>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</si>
  <si>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</si>
  <si>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</si>
  <si>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</si>
  <si>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</si>
  <si>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</si>
  <si>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</si>
  <si>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</si>
  <si>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</si>
  <si>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</si>
  <si>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</si>
  <si>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</si>
  <si>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</si>
  <si>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</si>
  <si>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</si>
  <si>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</si>
  <si>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</si>
  <si>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</si>
  <si>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</si>
  <si>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</si>
  <si>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</si>
  <si>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</si>
  <si>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</si>
  <si>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</si>
  <si>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</si>
  <si>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</si>
  <si>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</si>
  <si>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</si>
  <si>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</si>
  <si>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</si>
  <si>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</si>
  <si>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</si>
  <si>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</si>
  <si>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</si>
  <si>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</si>
  <si>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</si>
  <si>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</si>
  <si>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</si>
  <si>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</si>
  <si>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</si>
  <si>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</si>
  <si>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</si>
  <si>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</si>
  <si>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</si>
  <si>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</si>
  <si>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</si>
  <si>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</si>
  <si>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</si>
  <si>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</si>
  <si>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</si>
  <si>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</si>
  <si>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</si>
  <si>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</si>
  <si>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</si>
  <si>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</si>
  <si>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</si>
  <si>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</si>
  <si>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</si>
  <si>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</si>
  <si>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</si>
  <si>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</si>
  <si>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</si>
  <si>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</si>
  <si>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</si>
  <si>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</si>
  <si>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</si>
  <si>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</si>
  <si>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</si>
  <si>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</si>
  <si>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</si>
  <si>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</si>
  <si>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</si>
  <si>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</si>
  <si>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</si>
  <si>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Pencentage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</si>
  <si>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</si>
  <si>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</si>
  <si>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</si>
  <si>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</si>
  <si>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</si>
  <si>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</si>
  <si>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</si>
  <si>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</si>
  <si>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</si>
  <si>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</si>
  <si>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</si>
  <si>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</si>
  <si>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</si>
  <si>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</si>
  <si>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</si>
  <si>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</si>
  <si>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</si>
  <si>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</si>
  <si>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</si>
  <si>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</si>
  <si>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</si>
  <si>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</si>
  <si>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</si>
  <si>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</si>
  <si>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</si>
  <si>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</si>
  <si>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</si>
  <si>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</si>
  <si>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</si>
  <si>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</si>
  <si>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</si>
  <si>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</si>
  <si>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</si>
  <si>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</si>
  <si>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</si>
  <si>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</si>
  <si>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</si>
  <si>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</si>
  <si>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</si>
  <si>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</si>
  <si>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</si>
  <si>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</si>
  <si>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</si>
  <si>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</si>
  <si>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</si>
  <si>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</si>
  <si>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</si>
  <si>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</si>
  <si>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</si>
  <si>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</si>
  <si>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</si>
  <si>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</si>
  <si>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</si>
  <si>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</si>
  <si>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</si>
  <si>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</si>
  <si>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</si>
  <si>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</si>
  <si>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</si>
  <si>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</si>
  <si>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</si>
  <si>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</si>
  <si>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</si>
  <si>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</si>
  <si>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</si>
  <si>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</si>
  <si>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</si>
  <si>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</si>
  <si>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</si>
  <si>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Blurb</t>
  </si>
  <si>
    <t>Name</t>
  </si>
  <si>
    <t>Goal</t>
  </si>
  <si>
    <t>Pledge</t>
  </si>
  <si>
    <t>Years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</si>
  <si>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</si>
  <si>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</si>
  <si>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</si>
  <si>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</si>
  <si>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</si>
  <si>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</si>
  <si>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</si>
  <si>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</si>
  <si>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</si>
  <si>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</si>
  <si>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</si>
  <si>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</si>
  <si>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</si>
  <si>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</si>
  <si>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</si>
  <si>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</si>
  <si>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</si>
  <si>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</si>
  <si>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</si>
  <si>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</si>
  <si>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</si>
  <si>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</si>
  <si>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</si>
  <si>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</si>
  <si>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</si>
  <si>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</si>
  <si>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</si>
  <si>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</si>
  <si>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</si>
  <si>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</si>
  <si>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</si>
  <si>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</si>
  <si>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Plays</t>
  </si>
  <si>
    <t>Equal to 50000</t>
  </si>
  <si>
    <t>Above Total</t>
  </si>
  <si>
    <t>Status of Live</t>
  </si>
  <si>
    <t>SB 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</si>
</sst>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3" fillId="0" borderId="0" xfId="0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765412834846026"/>
          <c:y val="4.4254898360400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B-413B-B368-8CE99EC81EF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B-413B-B368-8CE99EC81EF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B-413B-B368-8CE99EC81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695168"/>
        <c:axId val="183362560"/>
      </c:lineChart>
      <c:catAx>
        <c:axId val="7906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2560"/>
        <c:crosses val="autoZero"/>
        <c:auto val="1"/>
        <c:lblAlgn val="ctr"/>
        <c:lblOffset val="100"/>
        <c:noMultiLvlLbl val="0"/>
      </c:catAx>
      <c:valAx>
        <c:axId val="1833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0-4415-9D3F-5B94B5C8100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0-4415-9D3F-5B94B5C8100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0-4415-9D3F-5B94B5C81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443008"/>
        <c:axId val="515581408"/>
      </c:lineChart>
      <c:catAx>
        <c:axId val="78544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81408"/>
        <c:crosses val="autoZero"/>
        <c:auto val="1"/>
        <c:lblAlgn val="ctr"/>
        <c:lblOffset val="100"/>
        <c:noMultiLvlLbl val="0"/>
      </c:catAx>
      <c:valAx>
        <c:axId val="5155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4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[Kickstarter_Challenge.xlsx]TimeValues!PivotTable2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TimeValues!$B$1:$B$2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TimeValues!$A$3:$A$12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TimeValues!$B$3:$B$12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D-4A3A-A9B5-7B9DA45E625F}"/>
            </c:ext>
          </c:extLst>
        </c:ser>
        <c:ser>
          <c:idx val="1"/>
          <c:order val="1"/>
          <c:tx>
            <c:strRef>
              <c:f>TimeValues!$C$1:$C$2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TimeValues!$A$3:$A$12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TimeValues!$C$3:$C$12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D-4A3A-A9B5-7B9DA45E625F}"/>
            </c:ext>
          </c:extLst>
        </c:ser>
        <c:ser>
          <c:idx val="2"/>
          <c:order val="2"/>
          <c:tx>
            <c:strRef>
              <c:f>TimeValues!$D$1:$D$2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TimeValues!$A$3:$A$12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TimeValues!$D$3:$D$12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7D-4A3A-A9B5-7B9DA45E625F}"/>
            </c:ext>
          </c:extLst>
        </c:ser>
        <c:ser>
          <c:idx val="3"/>
          <c:order val="3"/>
          <c:tx>
            <c:strRef>
              <c:f>TimeValues!$E$1:$E$2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TimeValues!$A$3:$A$12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TimeValues!$E$3:$E$12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7D-4A3A-A9B5-7B9DA45E6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5904"/>
        <c:axId val="121720640"/>
      </c:lineChart>
      <c:catAx>
        <c:axId val="21337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720640"/>
        <c:crosses val="autoZero"/>
        <c:auto val="1"/>
        <c:lblAlgn val="ctr"/>
        <c:lblOffset val="100"/>
        <c:noMultiLvlLbl val="0"/>
      </c:catAx>
      <c:valAx>
        <c:axId val="1217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D-44CF-AC77-4DFE5538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5481808"/>
        <c:axId val="132728432"/>
      </c:barChart>
      <c:catAx>
        <c:axId val="21548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28432"/>
        <c:crosses val="autoZero"/>
        <c:auto val="1"/>
        <c:lblAlgn val="ctr"/>
        <c:lblOffset val="100"/>
        <c:noMultiLvlLbl val="0"/>
      </c:catAx>
      <c:valAx>
        <c:axId val="1327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8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18</xdr:row>
      <xdr:rowOff>166686</xdr:rowOff>
    </xdr:from>
    <xdr:to>
      <xdr:col>8</xdr:col>
      <xdr:colOff>571500</xdr:colOff>
      <xdr:row>37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941C1-43BD-4508-B16A-3231A6D4C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52386</xdr:rowOff>
    </xdr:from>
    <xdr:to>
      <xdr:col>10</xdr:col>
      <xdr:colOff>485775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1AE07-709F-448A-B67F-AE1ADC78B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13</xdr:row>
      <xdr:rowOff>161925</xdr:rowOff>
    </xdr:from>
    <xdr:to>
      <xdr:col>9</xdr:col>
      <xdr:colOff>133350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8E029-A40C-4CAB-89C6-7F9BACCA2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4</xdr:row>
      <xdr:rowOff>157162</xdr:rowOff>
    </xdr:from>
    <xdr:to>
      <xdr:col>12</xdr:col>
      <xdr:colOff>285750</xdr:colOff>
      <xdr:row>19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34612-B9EC-4111-BB23-44DFE57E4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ffel, Brian R., CPA" refreshedDate="44456.655693055553" createdVersion="6" refreshedVersion="6" minRefreshableVersion="3" recordCount="4114" xr:uid="{1A72D896-33C4-4AD4-A97B-E3991285C03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ffel, Brian R., CPA" refreshedDate="44456.662670949074" createdVersion="6" refreshedVersion="6" minRefreshableVersion="3" recordCount="4114" xr:uid="{C5D141E7-49E2-4441-AD6B-B2A43BAB95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ffel, Brian R., CPA" refreshedDate="44465.560404166667" createdVersion="6" refreshedVersion="6" minRefreshableVersion="3" recordCount="4114" xr:uid="{97569597-37F6-430B-9474-939B69831AF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n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9083C-52A7-4E84-AF0C-F310A624707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DF018-99B0-4B9E-BB8E-4DE0D3B95AE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5F3A1-FB9A-4E6C-B171-C232DEE9C5B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BC1EA-1E65-466E-8F9E-55B66F973082}">
  <dimension ref="A1:E18"/>
  <sheetViews>
    <sheetView tabSelected="1"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8381</v>
      </c>
      <c r="B1" t="s">
        <v>8315</v>
      </c>
    </row>
    <row r="2" spans="1:5" x14ac:dyDescent="0.25">
      <c r="A2" s="14" t="s">
        <v>8380</v>
      </c>
      <c r="B2" t="s">
        <v>8362</v>
      </c>
    </row>
    <row r="4" spans="1:5" x14ac:dyDescent="0.25">
      <c r="A4" s="14" t="s">
        <v>8364</v>
      </c>
      <c r="B4" s="14" t="s">
        <v>8363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8388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9" t="s">
        <v>8389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9" t="s">
        <v>8390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9" t="s">
        <v>8391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9" t="s">
        <v>8382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9" t="s">
        <v>8392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9" t="s">
        <v>8383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9" t="s">
        <v>8384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9" t="s">
        <v>8385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9" t="s">
        <v>8386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9" t="s">
        <v>8387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9" t="s">
        <v>8393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3130" activePane="bottomRight" state="frozen"/>
      <selection pane="topRight" activeCell="D1" sqref="D1"/>
      <selection pane="bottomLeft" activeCell="A2" sqref="A2"/>
      <selection pane="bottomRight" activeCell="F3130" sqref="F3130:F314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style="11" bestFit="1" customWidth="1"/>
    <col min="16" max="16" width="22.140625" bestFit="1" customWidth="1"/>
    <col min="17" max="17" width="41.140625" customWidth="1"/>
    <col min="19" max="19" width="21.42578125" customWidth="1"/>
    <col min="20" max="20" width="9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2" t="s">
        <v>8381</v>
      </c>
      <c r="R1" s="9" t="s">
        <v>8359</v>
      </c>
      <c r="S1" s="9" t="s">
        <v>8365</v>
      </c>
      <c r="T1" s="17" t="s">
        <v>8366</v>
      </c>
      <c r="U1" s="9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+YEAR(S2)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+YEAR(S3)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+YEAR(S67)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+YEAR(S131)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+YEAR(S195)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+YEAR(S259)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+YEAR(S323)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+YEAR(S387)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+YEAR(S451)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+YEAR(S515)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+YEAR(S579)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+YEAR(S643)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+YEAR(S707)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+YEAR(S771)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+YEAR(S835)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+YEAR(S899)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+YEAR(S963)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+YEAR(S1027)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+YEAR(S1091)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+YEAR(S1155)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+YEAR(S1219)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+YEAR(S1283)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+YEAR(S1347)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+YEAR(S1411)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+YEAR(S1475)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+YEAR(S1539)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+YEAR(S1603)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+YEAR(S1667)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+YEAR(S1731)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+YEAR(S1795)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+YEAR(S1859)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+YEAR(S1923)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+YEAR(S1987)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+YEAR(S2051)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+YEAR(S2115)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+YEAR(S2179)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+YEAR(S2243)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+YEAR(S2307)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+YEAR(S2371)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+YEAR(S2435)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+YEAR(S2499)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+YEAR(S2563)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+YEAR(S2627)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+YEAR(S2691)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+YEAR(S2755)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+YEAR(S2819)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+YEAR(S2883)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+YEAR(S2947)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+YEAR(S3011)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+YEAR(S3075)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+YEAR(S3139)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+YEAR(S3203)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+YEAR(S3267)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+YEAR(S3331)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+YEAR(S3395)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+YEAR(S3459)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+YEAR(S3523)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+YEAR(S3587)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+YEAR(S3651)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+YEAR(S3715)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+YEAR(S3779)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+YEAR(S3843)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+YEAR(S3907)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+YEAR(S3971)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+YEAR(S4035)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+YEAR(S4099)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47656C4-6456-4C07-BA30-2DD022973A01}">
    <filterColumn colId="5">
      <filters>
        <filter val="live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1"/>
  </sortState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B46A1-0252-438E-A65B-FBB9BC7D2EC1}">
  <dimension ref="A1:H21"/>
  <sheetViews>
    <sheetView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8" customFormat="1" x14ac:dyDescent="0.25">
      <c r="A1" s="18" t="s">
        <v>8378</v>
      </c>
      <c r="B1" s="18" t="s">
        <v>8395</v>
      </c>
      <c r="C1" s="18" t="s">
        <v>8394</v>
      </c>
      <c r="D1" s="18" t="s">
        <v>8396</v>
      </c>
      <c r="E1" s="18" t="s">
        <v>8397</v>
      </c>
      <c r="F1" s="18" t="s">
        <v>8398</v>
      </c>
      <c r="G1" s="18" t="s">
        <v>8399</v>
      </c>
      <c r="H1" s="18" t="s">
        <v>8400</v>
      </c>
    </row>
    <row r="2" spans="1:8" x14ac:dyDescent="0.25">
      <c r="A2" t="s">
        <v>8401</v>
      </c>
      <c r="B2">
        <f>COUNTIFS(Kickstarter!$R:$R,"plays",Kickstarter!$F:$F,"successful",Kickstarter!$D:$D,"&lt; 1000")</f>
        <v>141</v>
      </c>
      <c r="C2">
        <f>COUNTIFS(Kickstarter!$R:$R,"plays",Kickstarter!$F:$F,"failed",Kickstarter!$D:$D,"&lt; 1000")</f>
        <v>45</v>
      </c>
      <c r="D2">
        <f>COUNTIFS(Kickstarter!$R:$R,"plays",Kickstarter!$F:$F,"canceled",Kickstarter!$D:$D,"&lt; 1000")</f>
        <v>0</v>
      </c>
      <c r="E2">
        <f>SUM(B2:D2)</f>
        <v>186</v>
      </c>
      <c r="F2" s="20">
        <f t="shared" ref="F2:F12" si="0">IFERROR(B2/$E2,0)</f>
        <v>0.75806451612903225</v>
      </c>
      <c r="G2" s="20">
        <f t="shared" ref="G2:G12" si="1">IFERROR(C2/$E2,0)</f>
        <v>0.24193548387096775</v>
      </c>
      <c r="H2" s="20">
        <f t="shared" ref="H2:H12" si="2">IFERROR(D2/$E2,0)</f>
        <v>0</v>
      </c>
    </row>
    <row r="3" spans="1:8" x14ac:dyDescent="0.25">
      <c r="A3" t="s">
        <v>8402</v>
      </c>
      <c r="B3">
        <f>COUNTIFS(Kickstarter!$R:$R,"plays",Kickstarter!$F:$F,"successful",Kickstarter!$D:$D,"&lt; 5000",Kickstarter!$D:$D,"&gt;=1000")</f>
        <v>388</v>
      </c>
      <c r="C3">
        <f>COUNTIFS(Kickstarter!$R:$R,"plays",Kickstarter!$F:$F,"failed",Kickstarter!$D:$D,"&lt; 5000",Kickstarter!$D:$D,"&gt;=1000")</f>
        <v>146</v>
      </c>
      <c r="D3">
        <f>COUNTIFS(Kickstarter!$R:$R,"plays",Kickstarter!$F:$F,"canceled",Kickstarter!$D:$D,"&lt; 5000",Kickstarter!$D:$D,"&gt;=1000")</f>
        <v>0</v>
      </c>
      <c r="E3">
        <f t="shared" ref="E3:E13" si="3">SUM(B3:D3)</f>
        <v>534</v>
      </c>
      <c r="F3" s="20">
        <f t="shared" si="0"/>
        <v>0.72659176029962547</v>
      </c>
      <c r="G3" s="20">
        <f t="shared" si="1"/>
        <v>0.27340823970037453</v>
      </c>
      <c r="H3" s="20">
        <f t="shared" si="2"/>
        <v>0</v>
      </c>
    </row>
    <row r="4" spans="1:8" x14ac:dyDescent="0.25">
      <c r="A4" t="s">
        <v>8403</v>
      </c>
      <c r="B4">
        <f>COUNTIFS(Kickstarter!$R:$R,"plays",Kickstarter!$F:$F,"successful",Kickstarter!$D:$D,"&lt; 10000",Kickstarter!$D:$D,"&gt;=5000")</f>
        <v>93</v>
      </c>
      <c r="C4">
        <f>COUNTIFS(Kickstarter!$R:$R,"plays",Kickstarter!$F:$F,"failed",Kickstarter!$D:$D,"&lt; 10000",Kickstarter!$D:$D,"&gt;=5000")</f>
        <v>76</v>
      </c>
      <c r="D4">
        <f>COUNTIFS(Kickstarter!$R:$R,"plays",Kickstarter!$F:$F,"canceled",Kickstarter!$D:$D,"&lt; 10000",Kickstarter!$D:$D,"&gt;=5000")</f>
        <v>0</v>
      </c>
      <c r="E4">
        <f t="shared" si="3"/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5">
      <c r="A5" t="s">
        <v>8404</v>
      </c>
      <c r="B5">
        <f>COUNTIFS(Kickstarter!$R:$R,"plays",Kickstarter!$F:$F,"successful",Kickstarter!$D:$D,"&lt; 15000",Kickstarter!$D:$D,"&gt;=10000")</f>
        <v>39</v>
      </c>
      <c r="C5">
        <f>COUNTIFS(Kickstarter!$R:$R,"plays",Kickstarter!$F:$F,"failed",Kickstarter!$D:$D,"&lt; 15000",Kickstarter!$D:$D,"&gt;=10000")</f>
        <v>33</v>
      </c>
      <c r="D5">
        <f>COUNTIFS(Kickstarter!$R:$R,"plays",Kickstarter!$F:$F,"canceled",Kickstarter!$D:$D,"&lt; 15000",Kickstarter!$D:$D,"&gt;=10000")</f>
        <v>0</v>
      </c>
      <c r="E5">
        <f t="shared" si="3"/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5">
      <c r="A6" t="s">
        <v>8405</v>
      </c>
      <c r="B6">
        <f>COUNTIFS(Kickstarter!$R:$R,"plays",Kickstarter!$F:$F,"successful",Kickstarter!$D:$D,"&lt; 20000",Kickstarter!$D:$D,"&gt;=15000")</f>
        <v>12</v>
      </c>
      <c r="C6">
        <f>COUNTIFS(Kickstarter!$R:$R,"plays",Kickstarter!$F:$F,"failed",Kickstarter!$D:$D,"&lt; 20000",Kickstarter!$D:$D,"&gt;=15000")</f>
        <v>12</v>
      </c>
      <c r="D6">
        <f>COUNTIFS(Kickstarter!$R:$R,"plays",Kickstarter!$F:$F,"canceled",Kickstarter!$D:$D,"&lt; 20000",Kickstarter!$D:$D,"&gt;=15000")</f>
        <v>0</v>
      </c>
      <c r="E6">
        <f t="shared" si="3"/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25">
      <c r="A7" t="s">
        <v>8406</v>
      </c>
      <c r="B7">
        <f>COUNTIFS(Kickstarter!$R:$R,"plays",Kickstarter!$F:$F,"successful",Kickstarter!$D:$D,"&lt; 25000",Kickstarter!$D:$D,"&gt;=20000")</f>
        <v>9</v>
      </c>
      <c r="C7">
        <f>COUNTIFS(Kickstarter!$R:$R,"plays",Kickstarter!$F:$F,"failed",Kickstarter!$D:$D,"&lt; 25000",Kickstarter!$D:$D,"&gt;=20000")</f>
        <v>11</v>
      </c>
      <c r="D7">
        <f>COUNTIFS(Kickstarter!$R:$R,"plays",Kickstarter!$F:$F,"canceled",Kickstarter!$D:$D,"&lt; 25000",Kickstarter!$D:$D,"&gt;=20000")</f>
        <v>0</v>
      </c>
      <c r="E7">
        <f t="shared" si="3"/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25">
      <c r="A8" t="s">
        <v>8407</v>
      </c>
      <c r="B8">
        <f>COUNTIFS(Kickstarter!$R:$R,"plays",Kickstarter!$F:$F,"successful",Kickstarter!$D:$D,"&lt; 30000",Kickstarter!$D:$D,"&gt;=25000")</f>
        <v>1</v>
      </c>
      <c r="C8">
        <f>COUNTIFS(Kickstarter!$R:$R,"plays",Kickstarter!$F:$F,"failed",Kickstarter!$D:$D,"&lt; 30000",Kickstarter!$D:$D,"&gt;=25000")</f>
        <v>4</v>
      </c>
      <c r="D8">
        <f>COUNTIFS(Kickstarter!$R:$R,"plays",Kickstarter!$F:$F,"canceled",Kickstarter!$D:$D,"&lt; 30000",Kickstarter!$D:$D,"&gt;=25000")</f>
        <v>0</v>
      </c>
      <c r="E8">
        <f t="shared" si="3"/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25">
      <c r="A9" t="s">
        <v>8408</v>
      </c>
      <c r="B9">
        <f>COUNTIFS(Kickstarter!$R:$R,"plays",Kickstarter!$F:$F,"successful",Kickstarter!$D:$D,"&lt; 35000",Kickstarter!$D:$D,"&gt;=30000")</f>
        <v>3</v>
      </c>
      <c r="C9">
        <f>COUNTIFS(Kickstarter!$R:$R,"plays",Kickstarter!$F:$F,"failed",Kickstarter!$D:$D,"&lt; 35000",Kickstarter!$D:$D,"&gt;=30000")</f>
        <v>8</v>
      </c>
      <c r="D9">
        <f>COUNTIFS(Kickstarter!$R:$R,"plays",Kickstarter!$F:$F,"canceled",Kickstarter!$D:$D,"&lt; 35000",Kickstarter!$D:$D,"&gt;=30000")</f>
        <v>0</v>
      </c>
      <c r="E9">
        <f t="shared" si="3"/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5">
      <c r="A10" t="s">
        <v>8409</v>
      </c>
      <c r="B10">
        <f>COUNTIFS(Kickstarter!$R:$R,"plays",Kickstarter!$F:$F,"successful",Kickstarter!$D:$D,"&lt; 40000",Kickstarter!$D:$D,"&gt;=35000")</f>
        <v>4</v>
      </c>
      <c r="C10">
        <f>COUNTIFS(Kickstarter!$R:$R,"plays",Kickstarter!$F:$F,"failed",Kickstarter!$D:$D,"&lt; 40000",Kickstarter!$D:$D,"&gt;=35000")</f>
        <v>2</v>
      </c>
      <c r="D10">
        <f>COUNTIFS(Kickstarter!$R:$R,"plays",Kickstarter!$F:$F,"canceled",Kickstarter!$D:$D,"&lt; 40000",Kickstarter!$D:$D,"&gt;=35000")</f>
        <v>0</v>
      </c>
      <c r="E10">
        <f t="shared" si="3"/>
        <v>6</v>
      </c>
      <c r="F10" s="20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25">
      <c r="A11" t="s">
        <v>8410</v>
      </c>
      <c r="B11">
        <f>COUNTIFS(Kickstarter!$R:$R,"plays",Kickstarter!$F:$F,"successful",Kickstarter!$D:$D,"&lt; 45000",Kickstarter!$D:$D,"&gt;=40000")</f>
        <v>2</v>
      </c>
      <c r="C11">
        <f>COUNTIFS(Kickstarter!$R:$R,"plays",Kickstarter!$F:$F,"failed",Kickstarter!$D:$D,"&lt; 45000",Kickstarter!$D:$D,"&gt;=40000")</f>
        <v>1</v>
      </c>
      <c r="D11">
        <f>COUNTIFS(Kickstarter!$R:$R,"plays",Kickstarter!$F:$F,"canceled",Kickstarter!$D:$D,"&lt; 45000",Kickstarter!$D:$D,"&gt;=40000")</f>
        <v>0</v>
      </c>
      <c r="E11">
        <f t="shared" si="3"/>
        <v>3</v>
      </c>
      <c r="F11" s="20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25">
      <c r="A12" t="s">
        <v>8411</v>
      </c>
      <c r="B12">
        <f>COUNTIFS(Kickstarter!$R:$R,"plays",Kickstarter!$F:$F,"successful",Kickstarter!$D:$D,"&lt; 50000",Kickstarter!$D:$D,"&gt;=45000")</f>
        <v>0</v>
      </c>
      <c r="C12">
        <f>COUNTIFS(Kickstarter!$R:$R,"plays",Kickstarter!$F:$F,"failed",Kickstarter!$D:$D,"&lt; 50000",Kickstarter!$D:$D,"&gt;=45000")</f>
        <v>1</v>
      </c>
      <c r="D12">
        <f>COUNTIFS(Kickstarter!$R:$R,"plays",Kickstarter!$F:$F,"canceled",Kickstarter!$D:$D,"&lt; 50000",Kickstarter!$D:$D,"&gt;=45000")</f>
        <v>0</v>
      </c>
      <c r="E12">
        <f t="shared" si="3"/>
        <v>1</v>
      </c>
      <c r="F12" s="20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25">
      <c r="A13" t="s">
        <v>8412</v>
      </c>
      <c r="B13">
        <f>COUNTIFS(Kickstarter!$R:$R,"plays",Kickstarter!$F:$F,"successful",Kickstarter!$D:$D,"&gt;50000")</f>
        <v>2</v>
      </c>
      <c r="C13">
        <f>COUNTIFS(Kickstarter!$R:$R,"plays",Kickstarter!$F:$F,"failed",Kickstarter!$D:$D,"&gt;50000")</f>
        <v>10</v>
      </c>
      <c r="D13">
        <f>COUNTIFS(Kickstarter!$R:$R,"plays",Kickstarter!$F:$F,"canceled",Kickstarter!$D:$D,"&gt;50000")</f>
        <v>0</v>
      </c>
      <c r="E13">
        <f t="shared" si="3"/>
        <v>12</v>
      </c>
      <c r="F13" s="20">
        <f t="shared" ref="F13" si="4">IFERROR(B13/$E13,0)</f>
        <v>0.16666666666666666</v>
      </c>
      <c r="G13" s="20">
        <f t="shared" ref="G13" si="5">IFERROR(C13/$E13,0)</f>
        <v>0.83333333333333337</v>
      </c>
      <c r="H13" s="20">
        <f t="shared" ref="H13" si="6">IFERROR(D13/$E13,0)</f>
        <v>0</v>
      </c>
    </row>
    <row r="16" spans="1:8" hidden="1" x14ac:dyDescent="0.25">
      <c r="A16" t="s">
        <v>8414</v>
      </c>
      <c r="B16">
        <f>COUNTIFS(Kickstarter!$R:$R,"plays",Kickstarter!$F:$F,"successful",Kickstarter!$D:$D,"= 50000")</f>
        <v>0</v>
      </c>
      <c r="C16">
        <f>COUNTIFS(Kickstarter!$R:$R,"plays",Kickstarter!$F:$F,"failed",Kickstarter!$D:$D,"= 50000")</f>
        <v>4</v>
      </c>
      <c r="D16">
        <f>COUNTIFS(Kickstarter!$R:$R,"plays",Kickstarter!$F:$F,"canceled",Kickstarter!$D:$D,"= 50000")</f>
        <v>0</v>
      </c>
      <c r="E16">
        <f>SUM(B16:D16)</f>
        <v>4</v>
      </c>
    </row>
    <row r="17" spans="1:5" hidden="1" x14ac:dyDescent="0.25">
      <c r="A17" t="s">
        <v>8416</v>
      </c>
      <c r="B17">
        <f>COUNTIFS(Kickstarter!$R:$R,"plays",Kickstarter!$F:$F,"live")</f>
        <v>19</v>
      </c>
      <c r="E17">
        <f>SUM(B17:D17)</f>
        <v>19</v>
      </c>
    </row>
    <row r="18" spans="1:5" hidden="1" x14ac:dyDescent="0.25"/>
    <row r="19" spans="1:5" hidden="1" x14ac:dyDescent="0.25">
      <c r="D19" t="s">
        <v>8415</v>
      </c>
      <c r="E19">
        <f>SUM(E2:E17)</f>
        <v>1066</v>
      </c>
    </row>
    <row r="20" spans="1:5" hidden="1" x14ac:dyDescent="0.25">
      <c r="D20" t="s">
        <v>8413</v>
      </c>
      <c r="E20">
        <v>1066</v>
      </c>
    </row>
    <row r="21" spans="1:5" hidden="1" x14ac:dyDescent="0.25">
      <c r="D21" t="s">
        <v>8417</v>
      </c>
      <c r="E21" s="21">
        <f>E19-E20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5423D-438F-495F-81E9-194DD59682E8}">
  <dimension ref="A1:F12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8364</v>
      </c>
      <c r="B1" s="14" t="s">
        <v>8363</v>
      </c>
    </row>
    <row r="2" spans="1:6" x14ac:dyDescent="0.25">
      <c r="A2" s="14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 t="s">
        <v>8367</v>
      </c>
      <c r="B3" s="11">
        <v>1</v>
      </c>
      <c r="C3" s="11">
        <v>4</v>
      </c>
      <c r="D3" s="11"/>
      <c r="E3" s="11">
        <v>9</v>
      </c>
      <c r="F3" s="11">
        <v>14</v>
      </c>
    </row>
    <row r="4" spans="1:6" x14ac:dyDescent="0.25">
      <c r="A4" s="15" t="s">
        <v>8368</v>
      </c>
      <c r="B4" s="11">
        <v>1</v>
      </c>
      <c r="C4" s="11">
        <v>15</v>
      </c>
      <c r="D4" s="11"/>
      <c r="E4" s="11">
        <v>49</v>
      </c>
      <c r="F4" s="11">
        <v>65</v>
      </c>
    </row>
    <row r="5" spans="1:6" x14ac:dyDescent="0.25">
      <c r="A5" s="15" t="s">
        <v>8369</v>
      </c>
      <c r="B5" s="11">
        <v>7</v>
      </c>
      <c r="C5" s="11">
        <v>28</v>
      </c>
      <c r="D5" s="11"/>
      <c r="E5" s="11">
        <v>136</v>
      </c>
      <c r="F5" s="11">
        <v>171</v>
      </c>
    </row>
    <row r="6" spans="1:6" x14ac:dyDescent="0.25">
      <c r="A6" s="15" t="s">
        <v>8370</v>
      </c>
      <c r="B6" s="11">
        <v>6</v>
      </c>
      <c r="C6" s="11">
        <v>60</v>
      </c>
      <c r="D6" s="11"/>
      <c r="E6" s="11">
        <v>216</v>
      </c>
      <c r="F6" s="11">
        <v>282</v>
      </c>
    </row>
    <row r="7" spans="1:6" x14ac:dyDescent="0.25">
      <c r="A7" s="15" t="s">
        <v>8371</v>
      </c>
      <c r="B7" s="11">
        <v>7</v>
      </c>
      <c r="C7" s="11">
        <v>67</v>
      </c>
      <c r="D7" s="11"/>
      <c r="E7" s="11">
        <v>200</v>
      </c>
      <c r="F7" s="11">
        <v>274</v>
      </c>
    </row>
    <row r="8" spans="1:6" x14ac:dyDescent="0.25">
      <c r="A8" s="15" t="s">
        <v>8372</v>
      </c>
      <c r="B8" s="11">
        <v>80</v>
      </c>
      <c r="C8" s="11">
        <v>422</v>
      </c>
      <c r="D8" s="11"/>
      <c r="E8" s="11">
        <v>474</v>
      </c>
      <c r="F8" s="11">
        <v>976</v>
      </c>
    </row>
    <row r="9" spans="1:6" x14ac:dyDescent="0.25">
      <c r="A9" s="15" t="s">
        <v>8373</v>
      </c>
      <c r="B9" s="11">
        <v>131</v>
      </c>
      <c r="C9" s="11">
        <v>527</v>
      </c>
      <c r="D9" s="11"/>
      <c r="E9" s="11">
        <v>567</v>
      </c>
      <c r="F9" s="11">
        <v>1225</v>
      </c>
    </row>
    <row r="10" spans="1:6" x14ac:dyDescent="0.25">
      <c r="A10" s="15" t="s">
        <v>8374</v>
      </c>
      <c r="B10" s="11">
        <v>99</v>
      </c>
      <c r="C10" s="11">
        <v>376</v>
      </c>
      <c r="D10" s="11"/>
      <c r="E10" s="11">
        <v>475</v>
      </c>
      <c r="F10" s="11">
        <v>950</v>
      </c>
    </row>
    <row r="11" spans="1:6" x14ac:dyDescent="0.25">
      <c r="A11" s="15" t="s">
        <v>8375</v>
      </c>
      <c r="B11" s="11">
        <v>17</v>
      </c>
      <c r="C11" s="11">
        <v>31</v>
      </c>
      <c r="D11" s="11">
        <v>50</v>
      </c>
      <c r="E11" s="11">
        <v>59</v>
      </c>
      <c r="F11" s="11">
        <v>157</v>
      </c>
    </row>
    <row r="12" spans="1:6" x14ac:dyDescent="0.25">
      <c r="A12" s="15" t="s">
        <v>8361</v>
      </c>
      <c r="B12" s="11">
        <v>349</v>
      </c>
      <c r="C12" s="11">
        <v>1530</v>
      </c>
      <c r="D12" s="11">
        <v>50</v>
      </c>
      <c r="E12" s="11">
        <v>2185</v>
      </c>
      <c r="F12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572B-D930-4C3E-8B4E-440F9DB8F37A}">
  <dimension ref="A1:B46"/>
  <sheetViews>
    <sheetView workbookViewId="0"/>
  </sheetViews>
  <sheetFormatPr defaultRowHeight="15" x14ac:dyDescent="0.25"/>
  <cols>
    <col min="1" max="1" width="16.8554687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2" x14ac:dyDescent="0.25">
      <c r="A1" s="14" t="s">
        <v>8222</v>
      </c>
      <c r="B1" t="s">
        <v>8362</v>
      </c>
    </row>
    <row r="2" spans="1:2" x14ac:dyDescent="0.25">
      <c r="A2" s="14" t="s">
        <v>8358</v>
      </c>
      <c r="B2" t="s">
        <v>8362</v>
      </c>
    </row>
    <row r="4" spans="1:2" x14ac:dyDescent="0.25">
      <c r="A4" s="14" t="s">
        <v>8360</v>
      </c>
      <c r="B4" t="s">
        <v>8364</v>
      </c>
    </row>
    <row r="5" spans="1:2" x14ac:dyDescent="0.25">
      <c r="A5" s="15" t="s">
        <v>8314</v>
      </c>
      <c r="B5" s="11">
        <v>100</v>
      </c>
    </row>
    <row r="6" spans="1:2" x14ac:dyDescent="0.25">
      <c r="A6" s="15" t="s">
        <v>8342</v>
      </c>
      <c r="B6" s="11">
        <v>20</v>
      </c>
    </row>
    <row r="7" spans="1:2" x14ac:dyDescent="0.25">
      <c r="A7" s="15" t="s">
        <v>8330</v>
      </c>
      <c r="B7" s="11">
        <v>24</v>
      </c>
    </row>
    <row r="8" spans="1:2" x14ac:dyDescent="0.25">
      <c r="A8" s="15" t="s">
        <v>8356</v>
      </c>
      <c r="B8" s="11">
        <v>40</v>
      </c>
    </row>
    <row r="9" spans="1:2" x14ac:dyDescent="0.25">
      <c r="A9" s="15" t="s">
        <v>8352</v>
      </c>
      <c r="B9" s="11">
        <v>40</v>
      </c>
    </row>
    <row r="10" spans="1:2" x14ac:dyDescent="0.25">
      <c r="A10" s="15" t="s">
        <v>8313</v>
      </c>
      <c r="B10" s="11">
        <v>180</v>
      </c>
    </row>
    <row r="11" spans="1:2" x14ac:dyDescent="0.25">
      <c r="A11" s="15" t="s">
        <v>8312</v>
      </c>
      <c r="B11" s="11">
        <v>80</v>
      </c>
    </row>
    <row r="12" spans="1:2" x14ac:dyDescent="0.25">
      <c r="A12" s="15" t="s">
        <v>8328</v>
      </c>
      <c r="B12" s="11">
        <v>40</v>
      </c>
    </row>
    <row r="13" spans="1:2" x14ac:dyDescent="0.25">
      <c r="A13" s="15" t="s">
        <v>8345</v>
      </c>
      <c r="B13" s="11">
        <v>60</v>
      </c>
    </row>
    <row r="14" spans="1:2" x14ac:dyDescent="0.25">
      <c r="A14" s="15" t="s">
        <v>8322</v>
      </c>
      <c r="B14" s="11">
        <v>40</v>
      </c>
    </row>
    <row r="15" spans="1:2" x14ac:dyDescent="0.25">
      <c r="A15" s="15" t="s">
        <v>8335</v>
      </c>
      <c r="B15" s="11">
        <v>140</v>
      </c>
    </row>
    <row r="16" spans="1:2" x14ac:dyDescent="0.25">
      <c r="A16" s="15" t="s">
        <v>8346</v>
      </c>
      <c r="B16" s="11">
        <v>20</v>
      </c>
    </row>
    <row r="17" spans="1:2" x14ac:dyDescent="0.25">
      <c r="A17" s="15" t="s">
        <v>8347</v>
      </c>
      <c r="B17" s="11">
        <v>140</v>
      </c>
    </row>
    <row r="18" spans="1:2" x14ac:dyDescent="0.25">
      <c r="A18" s="15" t="s">
        <v>8327</v>
      </c>
      <c r="B18" s="11">
        <v>160</v>
      </c>
    </row>
    <row r="19" spans="1:2" x14ac:dyDescent="0.25">
      <c r="A19" s="15" t="s">
        <v>8326</v>
      </c>
      <c r="B19" s="11">
        <v>60</v>
      </c>
    </row>
    <row r="20" spans="1:2" x14ac:dyDescent="0.25">
      <c r="A20" s="15" t="s">
        <v>8354</v>
      </c>
      <c r="B20" s="11">
        <v>20</v>
      </c>
    </row>
    <row r="21" spans="1:2" x14ac:dyDescent="0.25">
      <c r="A21" s="15" t="s">
        <v>8325</v>
      </c>
      <c r="B21" s="11">
        <v>20</v>
      </c>
    </row>
    <row r="22" spans="1:2" x14ac:dyDescent="0.25">
      <c r="A22" s="15" t="s">
        <v>8333</v>
      </c>
      <c r="B22" s="11">
        <v>40</v>
      </c>
    </row>
    <row r="23" spans="1:2" x14ac:dyDescent="0.25">
      <c r="A23" s="15" t="s">
        <v>8357</v>
      </c>
      <c r="B23" s="11">
        <v>140</v>
      </c>
    </row>
    <row r="24" spans="1:2" x14ac:dyDescent="0.25">
      <c r="A24" s="15" t="s">
        <v>8341</v>
      </c>
      <c r="B24" s="11">
        <v>20</v>
      </c>
    </row>
    <row r="25" spans="1:2" x14ac:dyDescent="0.25">
      <c r="A25" s="15" t="s">
        <v>8321</v>
      </c>
      <c r="B25" s="11">
        <v>60</v>
      </c>
    </row>
    <row r="26" spans="1:2" x14ac:dyDescent="0.25">
      <c r="A26" s="15" t="s">
        <v>8348</v>
      </c>
      <c r="B26" s="11">
        <v>20</v>
      </c>
    </row>
    <row r="27" spans="1:2" x14ac:dyDescent="0.25">
      <c r="A27" s="15" t="s">
        <v>8337</v>
      </c>
      <c r="B27" s="11">
        <v>160</v>
      </c>
    </row>
    <row r="28" spans="1:2" x14ac:dyDescent="0.25">
      <c r="A28" s="15" t="s">
        <v>8343</v>
      </c>
      <c r="B28" s="11">
        <v>20</v>
      </c>
    </row>
    <row r="29" spans="1:2" x14ac:dyDescent="0.25">
      <c r="A29" s="15" t="s">
        <v>8316</v>
      </c>
      <c r="B29" s="11">
        <v>1066</v>
      </c>
    </row>
    <row r="30" spans="1:2" x14ac:dyDescent="0.25">
      <c r="A30" s="15" t="s">
        <v>8344</v>
      </c>
      <c r="B30" s="11">
        <v>40</v>
      </c>
    </row>
    <row r="31" spans="1:2" x14ac:dyDescent="0.25">
      <c r="A31" s="15" t="s">
        <v>8340</v>
      </c>
      <c r="B31" s="11">
        <v>20</v>
      </c>
    </row>
    <row r="32" spans="1:2" x14ac:dyDescent="0.25">
      <c r="A32" s="15" t="s">
        <v>8351</v>
      </c>
      <c r="B32" s="11">
        <v>20</v>
      </c>
    </row>
    <row r="33" spans="1:2" x14ac:dyDescent="0.25">
      <c r="A33" s="15" t="s">
        <v>8324</v>
      </c>
      <c r="B33" s="11">
        <v>260</v>
      </c>
    </row>
    <row r="34" spans="1:2" x14ac:dyDescent="0.25">
      <c r="A34" s="15" t="s">
        <v>8311</v>
      </c>
      <c r="B34" s="11">
        <v>40</v>
      </c>
    </row>
    <row r="35" spans="1:2" x14ac:dyDescent="0.25">
      <c r="A35" s="15" t="s">
        <v>8310</v>
      </c>
      <c r="B35" s="11">
        <v>60</v>
      </c>
    </row>
    <row r="36" spans="1:2" x14ac:dyDescent="0.25">
      <c r="A36" s="15" t="s">
        <v>8350</v>
      </c>
      <c r="B36" s="11">
        <v>40</v>
      </c>
    </row>
    <row r="37" spans="1:2" x14ac:dyDescent="0.25">
      <c r="A37" s="15" t="s">
        <v>8353</v>
      </c>
      <c r="B37" s="11">
        <v>60</v>
      </c>
    </row>
    <row r="38" spans="1:2" x14ac:dyDescent="0.25">
      <c r="A38" s="15" t="s">
        <v>8355</v>
      </c>
      <c r="B38" s="11">
        <v>187</v>
      </c>
    </row>
    <row r="39" spans="1:2" x14ac:dyDescent="0.25">
      <c r="A39" s="15" t="s">
        <v>8349</v>
      </c>
      <c r="B39" s="11">
        <v>80</v>
      </c>
    </row>
    <row r="40" spans="1:2" x14ac:dyDescent="0.25">
      <c r="A40" s="15" t="s">
        <v>8309</v>
      </c>
      <c r="B40" s="11">
        <v>60</v>
      </c>
    </row>
    <row r="41" spans="1:2" x14ac:dyDescent="0.25">
      <c r="A41" s="15" t="s">
        <v>8339</v>
      </c>
      <c r="B41" s="11">
        <v>57</v>
      </c>
    </row>
    <row r="42" spans="1:2" x14ac:dyDescent="0.25">
      <c r="A42" s="15" t="s">
        <v>8332</v>
      </c>
      <c r="B42" s="11">
        <v>100</v>
      </c>
    </row>
    <row r="43" spans="1:2" x14ac:dyDescent="0.25">
      <c r="A43" s="15" t="s">
        <v>8319</v>
      </c>
      <c r="B43" s="11">
        <v>200</v>
      </c>
    </row>
    <row r="44" spans="1:2" x14ac:dyDescent="0.25">
      <c r="A44" s="15" t="s">
        <v>8318</v>
      </c>
      <c r="B44" s="11">
        <v>160</v>
      </c>
    </row>
    <row r="45" spans="1:2" x14ac:dyDescent="0.25">
      <c r="A45" s="15" t="s">
        <v>8338</v>
      </c>
      <c r="B45" s="11">
        <v>20</v>
      </c>
    </row>
    <row r="46" spans="1:2" x14ac:dyDescent="0.25">
      <c r="A46" s="15" t="s">
        <v>8361</v>
      </c>
      <c r="B46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40AE0-7AF7-480C-8CBC-7105871E03A9}">
  <dimension ref="A1:D6"/>
  <sheetViews>
    <sheetView workbookViewId="0">
      <selection activeCell="B12" sqref="B12"/>
    </sheetView>
  </sheetViews>
  <sheetFormatPr defaultRowHeight="15" x14ac:dyDescent="0.25"/>
  <cols>
    <col min="2" max="2" width="66.7109375" customWidth="1"/>
  </cols>
  <sheetData>
    <row r="1" spans="1:4" s="18" customFormat="1" x14ac:dyDescent="0.25">
      <c r="A1" s="18" t="s">
        <v>8377</v>
      </c>
      <c r="B1" s="18" t="s">
        <v>8376</v>
      </c>
      <c r="C1" s="18" t="s">
        <v>8378</v>
      </c>
      <c r="D1" s="18" t="s">
        <v>8379</v>
      </c>
    </row>
    <row r="2" spans="1:4" ht="30" x14ac:dyDescent="0.25">
      <c r="A2" t="s">
        <v>3473</v>
      </c>
      <c r="B2" s="3" t="str">
        <f>+VLOOKUP(A2,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0" x14ac:dyDescent="0.25">
      <c r="A3" t="s">
        <v>3616</v>
      </c>
      <c r="B3" s="3" t="str">
        <f>+VLOOKUP(A3,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0" x14ac:dyDescent="0.25">
      <c r="A4" t="s">
        <v>3178</v>
      </c>
      <c r="B4" s="3" t="str">
        <f>+VLOOKUP(A4,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0" x14ac:dyDescent="0.25">
      <c r="A5" t="s">
        <v>3329</v>
      </c>
      <c r="B5" s="3" t="str">
        <f>+VLOOKUP(A5,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0" x14ac:dyDescent="0.25">
      <c r="A6" t="s">
        <v>3221</v>
      </c>
      <c r="B6" s="3" t="str">
        <f>+VLOOKUP(A6,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Outcomes Based on Goals</vt:lpstr>
      <vt:lpstr>TimeValues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Stoffel, Brian R., CPA</cp:lastModifiedBy>
  <dcterms:created xsi:type="dcterms:W3CDTF">2017-04-20T15:17:24Z</dcterms:created>
  <dcterms:modified xsi:type="dcterms:W3CDTF">2021-09-26T20:15:37Z</dcterms:modified>
</cp:coreProperties>
</file>