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3. Linear Regression\"/>
    </mc:Choice>
  </mc:AlternateContent>
  <xr:revisionPtr revIDLastSave="0" documentId="13_ncr:1_{3FD70F45-23E7-4376-BA31-3E30F4728E65}" xr6:coauthVersionLast="47" xr6:coauthVersionMax="47" xr10:uidLastSave="{00000000-0000-0000-0000-000000000000}"/>
  <bookViews>
    <workbookView xWindow="-120" yWindow="-120" windowWidth="20730" windowHeight="11160" activeTab="1" xr2:uid="{105259FC-37A1-489C-B829-F33CFB453629}"/>
  </bookViews>
  <sheets>
    <sheet name="Q2_27" sheetId="1" r:id="rId1"/>
    <sheet name="Q1_30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M10" i="3"/>
  <c r="X2" i="1"/>
  <c r="W6" i="1"/>
  <c r="X6" i="1" s="1"/>
  <c r="P7" i="1"/>
  <c r="P6" i="1"/>
  <c r="P5" i="1"/>
  <c r="P2" i="1"/>
  <c r="P1" i="1"/>
  <c r="L7" i="3"/>
  <c r="L6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F2" i="3"/>
  <c r="E2" i="3"/>
  <c r="D2" i="3"/>
  <c r="C22" i="3"/>
  <c r="C23" i="3" s="1"/>
  <c r="B22" i="3"/>
  <c r="B23" i="3" s="1"/>
  <c r="U15" i="1"/>
  <c r="U18" i="1" s="1"/>
  <c r="Y7" i="1"/>
  <c r="U17" i="1" s="1"/>
  <c r="W5" i="1"/>
  <c r="X5" i="1" s="1"/>
  <c r="W4" i="1"/>
  <c r="X4" i="1" s="1"/>
  <c r="W3" i="1"/>
  <c r="X3" i="1" s="1"/>
  <c r="W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X7" i="1" l="1"/>
  <c r="X8" i="1" s="1"/>
  <c r="V17" i="1" s="1"/>
  <c r="W17" i="1" s="1"/>
  <c r="U16" i="1"/>
  <c r="M18" i="1"/>
  <c r="F22" i="3"/>
  <c r="I4" i="3" s="1"/>
  <c r="D22" i="3"/>
  <c r="I2" i="3" s="1"/>
  <c r="E22" i="3"/>
  <c r="I3" i="3" s="1"/>
  <c r="I11" i="3" s="1"/>
  <c r="M7" i="3" s="1"/>
  <c r="I6" i="3" l="1"/>
  <c r="I9" i="3" s="1"/>
  <c r="I12" i="3" s="1"/>
  <c r="X10" i="1"/>
  <c r="V16" i="1" s="1"/>
  <c r="W16" i="1" s="1"/>
  <c r="X16" i="1" s="1"/>
  <c r="H18" i="1"/>
  <c r="G18" i="1"/>
  <c r="G19" i="1" s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J2" i="1"/>
  <c r="I2" i="1"/>
  <c r="I7" i="3" l="1"/>
  <c r="I18" i="1"/>
  <c r="P3" i="1" s="1"/>
  <c r="O17" i="3"/>
  <c r="L17" i="3"/>
  <c r="M5" i="3"/>
  <c r="N5" i="3" s="1"/>
  <c r="I10" i="3"/>
  <c r="M6" i="3" s="1"/>
  <c r="N6" i="3" s="1"/>
  <c r="J18" i="1"/>
  <c r="K5" i="1"/>
  <c r="K9" i="1"/>
  <c r="K13" i="1"/>
  <c r="K17" i="1"/>
  <c r="K14" i="1"/>
  <c r="K4" i="1"/>
  <c r="K16" i="1"/>
  <c r="K6" i="1"/>
  <c r="K10" i="1"/>
  <c r="K2" i="1"/>
  <c r="K12" i="1"/>
  <c r="K3" i="1"/>
  <c r="K7" i="1"/>
  <c r="K11" i="1"/>
  <c r="K15" i="1"/>
  <c r="K8" i="1"/>
  <c r="H19" i="1"/>
  <c r="P4" i="1" l="1"/>
  <c r="Q5" i="1"/>
  <c r="V14" i="1"/>
  <c r="L18" i="3"/>
  <c r="L21" i="3" s="1"/>
  <c r="M9" i="3"/>
  <c r="O18" i="3"/>
  <c r="O21" i="3" s="1"/>
  <c r="O5" i="3"/>
  <c r="K18" i="1"/>
  <c r="L6" i="1"/>
  <c r="L10" i="1"/>
  <c r="L14" i="1"/>
  <c r="L2" i="1"/>
  <c r="L9" i="1"/>
  <c r="L3" i="1"/>
  <c r="L7" i="1"/>
  <c r="L11" i="1"/>
  <c r="L15" i="1"/>
  <c r="L13" i="1"/>
  <c r="L4" i="1"/>
  <c r="L8" i="1"/>
  <c r="L12" i="1"/>
  <c r="L16" i="1"/>
  <c r="L5" i="1"/>
  <c r="L17" i="1"/>
  <c r="W14" i="1" l="1"/>
  <c r="L20" i="3"/>
  <c r="O20" i="3"/>
  <c r="L18" i="1"/>
  <c r="V15" i="1" l="1"/>
  <c r="M13" i="3"/>
  <c r="M12" i="3"/>
  <c r="O13" i="3"/>
  <c r="O12" i="3"/>
  <c r="W15" i="1" l="1"/>
  <c r="X14" i="1" s="1"/>
  <c r="V18" i="1"/>
</calcChain>
</file>

<file path=xl/sharedStrings.xml><?xml version="1.0" encoding="utf-8"?>
<sst xmlns="http://schemas.openxmlformats.org/spreadsheetml/2006/main" count="90" uniqueCount="57">
  <si>
    <t>x</t>
  </si>
  <si>
    <t>y</t>
  </si>
  <si>
    <t>Y1</t>
  </si>
  <si>
    <t>Y2</t>
  </si>
  <si>
    <t>Y3</t>
  </si>
  <si>
    <t>Xi</t>
  </si>
  <si>
    <t>xy</t>
  </si>
  <si>
    <t>x2</t>
  </si>
  <si>
    <t>Sl. No</t>
  </si>
  <si>
    <t>Sum</t>
  </si>
  <si>
    <t>AVG</t>
  </si>
  <si>
    <t>Sxy</t>
  </si>
  <si>
    <t>Sxx</t>
  </si>
  <si>
    <t>b</t>
  </si>
  <si>
    <t>a</t>
  </si>
  <si>
    <t>Regression</t>
  </si>
  <si>
    <t>Total</t>
  </si>
  <si>
    <t>SS</t>
  </si>
  <si>
    <t>MS</t>
  </si>
  <si>
    <t>F</t>
  </si>
  <si>
    <t>Syy</t>
  </si>
  <si>
    <t>(xi-xbar)^2</t>
  </si>
  <si>
    <t>(yi-ybar)^2</t>
  </si>
  <si>
    <t>y2</t>
  </si>
  <si>
    <t>SSR</t>
  </si>
  <si>
    <t>SSE</t>
  </si>
  <si>
    <t>Level x</t>
  </si>
  <si>
    <t>DF</t>
  </si>
  <si>
    <t>SPE</t>
  </si>
  <si>
    <t>SSLOF</t>
  </si>
  <si>
    <t>Source</t>
  </si>
  <si>
    <t>Fcrit</t>
  </si>
  <si>
    <t>Error</t>
  </si>
  <si>
    <t>(LOF)</t>
  </si>
  <si>
    <t>(PE)</t>
  </si>
  <si>
    <t>X</t>
  </si>
  <si>
    <t>Y</t>
  </si>
  <si>
    <t>X2</t>
  </si>
  <si>
    <t>XY</t>
  </si>
  <si>
    <t>SST</t>
  </si>
  <si>
    <t>R2</t>
  </si>
  <si>
    <t>Reg</t>
  </si>
  <si>
    <t>Anova Table</t>
  </si>
  <si>
    <t>Sigma b</t>
  </si>
  <si>
    <t>MSE</t>
  </si>
  <si>
    <t>t</t>
  </si>
  <si>
    <t>b upper</t>
  </si>
  <si>
    <t>b lower</t>
  </si>
  <si>
    <t>sigma a</t>
  </si>
  <si>
    <t>a upper</t>
  </si>
  <si>
    <t>a lower</t>
  </si>
  <si>
    <t>x=1.01</t>
  </si>
  <si>
    <t>x=1.0</t>
  </si>
  <si>
    <t>y upper</t>
  </si>
  <si>
    <t>y lower</t>
  </si>
  <si>
    <t>Sigma 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</si>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</sst>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6123-2249-4B4D-AF4F-D74BEC40F509}">
  <dimension ref="A1:Y19"/>
  <sheetViews>
    <sheetView topLeftCell="H4" workbookViewId="0">
      <selection activeCell="X10" sqref="X10"/>
    </sheetView>
  </sheetViews>
  <sheetFormatPr defaultRowHeight="15" x14ac:dyDescent="0.25"/>
  <cols>
    <col min="1" max="10" width="9.140625" style="1"/>
    <col min="11" max="12" width="13.7109375" style="1" bestFit="1" customWidth="1"/>
    <col min="13" max="19" width="9.140625" style="1"/>
    <col min="20" max="20" width="14" style="1" bestFit="1" customWidth="1"/>
    <col min="21" max="22" width="9.140625" style="1"/>
    <col min="23" max="23" width="10.5703125" style="1" customWidth="1"/>
    <col min="24" max="16384" width="9.140625" style="1"/>
  </cols>
  <sheetData>
    <row r="1" spans="1:25" ht="18.75" x14ac:dyDescent="0.25">
      <c r="A1" s="28" t="s">
        <v>5</v>
      </c>
      <c r="B1" s="28" t="s">
        <v>2</v>
      </c>
      <c r="C1" s="28" t="s">
        <v>3</v>
      </c>
      <c r="D1" s="28" t="s">
        <v>4</v>
      </c>
      <c r="F1" s="30" t="s">
        <v>8</v>
      </c>
      <c r="G1" s="31" t="s">
        <v>0</v>
      </c>
      <c r="H1" s="31" t="s">
        <v>1</v>
      </c>
      <c r="I1" s="32" t="s">
        <v>6</v>
      </c>
      <c r="J1" s="32" t="s">
        <v>7</v>
      </c>
      <c r="K1" s="28" t="s">
        <v>21</v>
      </c>
      <c r="L1" s="28" t="s">
        <v>22</v>
      </c>
      <c r="M1" s="28" t="s">
        <v>23</v>
      </c>
      <c r="O1" s="27" t="s">
        <v>11</v>
      </c>
      <c r="P1" s="11">
        <f>I18-(G18*H18/F17)</f>
        <v>13.504999999999995</v>
      </c>
      <c r="S1" s="33" t="s">
        <v>26</v>
      </c>
      <c r="T1" s="27" t="s">
        <v>1</v>
      </c>
      <c r="U1" s="27" t="s">
        <v>1</v>
      </c>
      <c r="V1" s="27" t="s">
        <v>1</v>
      </c>
      <c r="W1" s="27" t="s">
        <v>10</v>
      </c>
      <c r="X1" s="27"/>
      <c r="Y1" s="27" t="s">
        <v>27</v>
      </c>
    </row>
    <row r="2" spans="1:25" ht="18.75" x14ac:dyDescent="0.25">
      <c r="A2" s="4">
        <v>1</v>
      </c>
      <c r="B2" s="4">
        <v>2.2999999999999998</v>
      </c>
      <c r="C2" s="4">
        <v>1.8</v>
      </c>
      <c r="D2" s="4"/>
      <c r="F2" s="7">
        <v>1</v>
      </c>
      <c r="G2" s="13">
        <v>1</v>
      </c>
      <c r="H2" s="9">
        <v>2.2999999999999998</v>
      </c>
      <c r="I2" s="3">
        <f>G2*H2</f>
        <v>2.2999999999999998</v>
      </c>
      <c r="J2" s="3">
        <f>G2^2</f>
        <v>1</v>
      </c>
      <c r="K2" s="3">
        <f>(G2-$G$19)^2</f>
        <v>11.306406250000006</v>
      </c>
      <c r="L2" s="3">
        <f>(H2-$H$19)^2</f>
        <v>0.2756249999999999</v>
      </c>
      <c r="M2" s="3">
        <f>H2^2</f>
        <v>5.2899999999999991</v>
      </c>
      <c r="O2" s="27" t="s">
        <v>12</v>
      </c>
      <c r="P2" s="11">
        <f>J18-(G18*G19)</f>
        <v>52.217499999999859</v>
      </c>
      <c r="S2" s="34">
        <v>1</v>
      </c>
      <c r="T2" s="4">
        <v>2.2999999999999998</v>
      </c>
      <c r="U2" s="4">
        <v>1.8</v>
      </c>
      <c r="V2" s="3"/>
      <c r="W2" s="3">
        <f>AVERAGE(T2:U2)</f>
        <v>2.0499999999999998</v>
      </c>
      <c r="X2" s="3">
        <f>(T2-W2)^2+(U2-W2)^2</f>
        <v>0.12499999999999989</v>
      </c>
      <c r="Y2" s="3">
        <v>1</v>
      </c>
    </row>
    <row r="3" spans="1:25" ht="18.75" x14ac:dyDescent="0.25">
      <c r="A3" s="4">
        <v>2</v>
      </c>
      <c r="B3" s="4">
        <v>2.8</v>
      </c>
      <c r="C3" s="4"/>
      <c r="D3" s="4"/>
      <c r="F3" s="3">
        <v>2</v>
      </c>
      <c r="G3" s="13">
        <v>1</v>
      </c>
      <c r="H3" s="9">
        <v>1.8</v>
      </c>
      <c r="I3" s="3">
        <f t="shared" ref="I3:I17" si="0">G3*H3</f>
        <v>1.8</v>
      </c>
      <c r="J3" s="3">
        <f t="shared" ref="J3:J17" si="1">G3^2</f>
        <v>1</v>
      </c>
      <c r="K3" s="3">
        <f t="shared" ref="K3:K17" si="2">(G3-$G$19)^2</f>
        <v>11.306406250000006</v>
      </c>
      <c r="L3" s="3">
        <f t="shared" ref="L3:L17" si="3">(H3-$H$19)^2</f>
        <v>1.0506249999999993</v>
      </c>
      <c r="M3" s="3">
        <f t="shared" ref="M3:M17" si="4">H3^2</f>
        <v>3.24</v>
      </c>
      <c r="O3" s="27" t="s">
        <v>13</v>
      </c>
      <c r="P3" s="11">
        <f>P1/P2</f>
        <v>0.25862976971321938</v>
      </c>
      <c r="S3" s="34">
        <v>3.3</v>
      </c>
      <c r="T3" s="4">
        <v>1.8</v>
      </c>
      <c r="U3" s="4">
        <v>3.7</v>
      </c>
      <c r="V3" s="3"/>
      <c r="W3" s="3">
        <f>AVERAGE(T3:U3)</f>
        <v>2.75</v>
      </c>
      <c r="X3" s="3">
        <f>(T3-W3)^2+(U3-W3)^2</f>
        <v>1.8050000000000002</v>
      </c>
      <c r="Y3" s="3">
        <v>1</v>
      </c>
    </row>
    <row r="4" spans="1:25" ht="18.75" x14ac:dyDescent="0.25">
      <c r="A4" s="4">
        <v>3.3</v>
      </c>
      <c r="B4" s="4">
        <v>1.8</v>
      </c>
      <c r="C4" s="4">
        <v>3.7</v>
      </c>
      <c r="D4" s="4"/>
      <c r="F4" s="7">
        <v>3</v>
      </c>
      <c r="G4" s="4">
        <v>2</v>
      </c>
      <c r="H4" s="9">
        <v>2.8</v>
      </c>
      <c r="I4" s="3">
        <f t="shared" si="0"/>
        <v>5.6</v>
      </c>
      <c r="J4" s="3">
        <f t="shared" si="1"/>
        <v>4</v>
      </c>
      <c r="K4" s="3">
        <f t="shared" si="2"/>
        <v>5.5814062500000032</v>
      </c>
      <c r="L4" s="3">
        <f t="shared" si="3"/>
        <v>6.2499999999999557E-4</v>
      </c>
      <c r="M4" s="3">
        <f t="shared" si="4"/>
        <v>7.839999999999999</v>
      </c>
      <c r="O4" s="27" t="s">
        <v>14</v>
      </c>
      <c r="P4" s="11">
        <f>H19-P3*G19</f>
        <v>1.69672762962608</v>
      </c>
      <c r="S4" s="34">
        <v>4</v>
      </c>
      <c r="T4" s="4">
        <v>2.6</v>
      </c>
      <c r="U4" s="4">
        <v>2.6</v>
      </c>
      <c r="V4" s="4">
        <v>2.2000000000000002</v>
      </c>
      <c r="W4" s="3">
        <f>AVERAGE(T4:V4)</f>
        <v>2.4666666666666668</v>
      </c>
      <c r="X4" s="3">
        <f>(T4-W4)^2+(U4-W4)^2+(V4-W4)^2</f>
        <v>0.10666666666666663</v>
      </c>
      <c r="Y4" s="3">
        <v>2</v>
      </c>
    </row>
    <row r="5" spans="1:25" ht="18.75" x14ac:dyDescent="0.25">
      <c r="A5" s="4">
        <v>4</v>
      </c>
      <c r="B5" s="4">
        <v>2.6</v>
      </c>
      <c r="C5" s="4">
        <v>2.6</v>
      </c>
      <c r="D5" s="4">
        <v>2.2000000000000002</v>
      </c>
      <c r="F5" s="3">
        <v>4</v>
      </c>
      <c r="G5" s="13">
        <v>3.3</v>
      </c>
      <c r="H5" s="9">
        <v>1.8</v>
      </c>
      <c r="I5" s="3">
        <f t="shared" si="0"/>
        <v>5.9399999999999995</v>
      </c>
      <c r="J5" s="3">
        <f t="shared" si="1"/>
        <v>10.889999999999999</v>
      </c>
      <c r="K5" s="3">
        <f t="shared" si="2"/>
        <v>1.1289062500000018</v>
      </c>
      <c r="L5" s="3">
        <f t="shared" si="3"/>
        <v>1.0506249999999993</v>
      </c>
      <c r="M5" s="3">
        <f t="shared" si="4"/>
        <v>3.24</v>
      </c>
      <c r="O5" s="27" t="s">
        <v>20</v>
      </c>
      <c r="P5" s="11">
        <f>L18</f>
        <v>10.83</v>
      </c>
      <c r="Q5" s="1">
        <f>M18-H18*H19</f>
        <v>10.830000000000041</v>
      </c>
      <c r="S5" s="34">
        <v>5.6</v>
      </c>
      <c r="T5" s="4">
        <v>3.5</v>
      </c>
      <c r="U5" s="5">
        <v>2.8</v>
      </c>
      <c r="V5" s="4">
        <v>2.1</v>
      </c>
      <c r="W5" s="3">
        <f>AVERAGE(T5:V5)</f>
        <v>2.8000000000000003</v>
      </c>
      <c r="X5" s="3">
        <f>(T5-W5)^2+(U5-W5)^2+(V5-W5)^2</f>
        <v>0.97999999999999987</v>
      </c>
      <c r="Y5" s="3">
        <v>2</v>
      </c>
    </row>
    <row r="6" spans="1:25" ht="18.75" x14ac:dyDescent="0.25">
      <c r="A6" s="4">
        <v>5</v>
      </c>
      <c r="B6" s="4">
        <v>2</v>
      </c>
      <c r="C6" s="4"/>
      <c r="D6" s="4"/>
      <c r="F6" s="7">
        <v>5</v>
      </c>
      <c r="G6" s="13">
        <v>3.3</v>
      </c>
      <c r="H6" s="9">
        <v>3.7</v>
      </c>
      <c r="I6" s="3">
        <f t="shared" si="0"/>
        <v>12.209999999999999</v>
      </c>
      <c r="J6" s="3">
        <f t="shared" si="1"/>
        <v>10.889999999999999</v>
      </c>
      <c r="K6" s="3">
        <f t="shared" si="2"/>
        <v>1.1289062500000018</v>
      </c>
      <c r="L6" s="3">
        <f t="shared" si="3"/>
        <v>0.76562500000000078</v>
      </c>
      <c r="M6" s="3">
        <f t="shared" si="4"/>
        <v>13.690000000000001</v>
      </c>
      <c r="O6" s="27" t="s">
        <v>24</v>
      </c>
      <c r="P6" s="11">
        <f>P1*P3</f>
        <v>3.4927950399770267</v>
      </c>
      <c r="S6" s="34">
        <v>6</v>
      </c>
      <c r="T6" s="4">
        <v>3.2</v>
      </c>
      <c r="U6" s="4">
        <v>3.4</v>
      </c>
      <c r="V6" s="3"/>
      <c r="W6" s="3">
        <f>AVERAGE(T6:U6)</f>
        <v>3.3</v>
      </c>
      <c r="X6" s="3">
        <f t="shared" ref="X6" si="5">(T6-W6)^2+(U6-W6)^2</f>
        <v>1.9999999999999948E-2</v>
      </c>
      <c r="Y6" s="3">
        <v>1</v>
      </c>
    </row>
    <row r="7" spans="1:25" ht="18.75" x14ac:dyDescent="0.25">
      <c r="A7" s="4">
        <v>5.6</v>
      </c>
      <c r="B7" s="4">
        <v>3.5</v>
      </c>
      <c r="C7" s="5">
        <v>2.8</v>
      </c>
      <c r="D7" s="4">
        <v>2.1</v>
      </c>
      <c r="F7" s="3">
        <v>6</v>
      </c>
      <c r="G7" s="13">
        <v>4</v>
      </c>
      <c r="H7" s="9">
        <v>2.6</v>
      </c>
      <c r="I7" s="3">
        <f t="shared" si="0"/>
        <v>10.4</v>
      </c>
      <c r="J7" s="3">
        <f t="shared" si="1"/>
        <v>16</v>
      </c>
      <c r="K7" s="3">
        <f t="shared" si="2"/>
        <v>0.1314062500000005</v>
      </c>
      <c r="L7" s="3">
        <f t="shared" si="3"/>
        <v>5.0624999999999837E-2</v>
      </c>
      <c r="M7" s="3">
        <f t="shared" si="4"/>
        <v>6.7600000000000007</v>
      </c>
      <c r="O7" s="27" t="s">
        <v>25</v>
      </c>
      <c r="P7" s="11">
        <f>P5-P6</f>
        <v>7.337204960022973</v>
      </c>
      <c r="S7" s="2"/>
      <c r="W7" s="27" t="s">
        <v>16</v>
      </c>
      <c r="X7" s="3">
        <f>SUM(X2:X6)</f>
        <v>3.0366666666666666</v>
      </c>
      <c r="Y7" s="3">
        <f>SUM(Y2:Y6)</f>
        <v>7</v>
      </c>
    </row>
    <row r="8" spans="1:25" ht="18.75" x14ac:dyDescent="0.25">
      <c r="A8" s="4">
        <v>6</v>
      </c>
      <c r="B8" s="4">
        <v>3.4</v>
      </c>
      <c r="C8" s="4">
        <v>3.2</v>
      </c>
      <c r="D8" s="4"/>
      <c r="F8" s="7">
        <v>7</v>
      </c>
      <c r="G8" s="13">
        <v>4</v>
      </c>
      <c r="H8" s="9">
        <v>2.6</v>
      </c>
      <c r="I8" s="3">
        <f t="shared" si="0"/>
        <v>10.4</v>
      </c>
      <c r="J8" s="3">
        <f t="shared" si="1"/>
        <v>16</v>
      </c>
      <c r="K8" s="3">
        <f t="shared" si="2"/>
        <v>0.1314062500000005</v>
      </c>
      <c r="L8" s="3">
        <f t="shared" si="3"/>
        <v>5.0624999999999837E-2</v>
      </c>
      <c r="M8" s="3">
        <f t="shared" si="4"/>
        <v>6.7600000000000007</v>
      </c>
      <c r="W8" s="27" t="s">
        <v>28</v>
      </c>
      <c r="X8" s="3">
        <f>X7</f>
        <v>3.0366666666666666</v>
      </c>
    </row>
    <row r="9" spans="1:25" ht="18.75" x14ac:dyDescent="0.25">
      <c r="A9" s="4">
        <v>6.5</v>
      </c>
      <c r="B9" s="4">
        <v>3.4</v>
      </c>
      <c r="C9" s="4"/>
      <c r="D9" s="4"/>
      <c r="F9" s="3">
        <v>8</v>
      </c>
      <c r="G9" s="13">
        <v>4</v>
      </c>
      <c r="H9" s="9">
        <v>2.2000000000000002</v>
      </c>
      <c r="I9" s="3">
        <f t="shared" si="0"/>
        <v>8.8000000000000007</v>
      </c>
      <c r="J9" s="3">
        <f t="shared" si="1"/>
        <v>16</v>
      </c>
      <c r="K9" s="3">
        <f t="shared" si="2"/>
        <v>0.1314062500000005</v>
      </c>
      <c r="L9" s="3">
        <f t="shared" si="3"/>
        <v>0.39062499999999944</v>
      </c>
      <c r="M9" s="3">
        <f t="shared" si="4"/>
        <v>4.8400000000000007</v>
      </c>
      <c r="W9" s="27" t="s">
        <v>25</v>
      </c>
      <c r="X9" s="3">
        <v>7.337204960022973</v>
      </c>
    </row>
    <row r="10" spans="1:25" ht="18.75" x14ac:dyDescent="0.25">
      <c r="A10" s="4">
        <v>6.9</v>
      </c>
      <c r="B10" s="4">
        <v>5</v>
      </c>
      <c r="C10" s="4"/>
      <c r="D10" s="4"/>
      <c r="F10" s="7">
        <v>9</v>
      </c>
      <c r="G10" s="4">
        <v>5</v>
      </c>
      <c r="H10" s="9">
        <v>2</v>
      </c>
      <c r="I10" s="3">
        <f t="shared" si="0"/>
        <v>10</v>
      </c>
      <c r="J10" s="3">
        <f t="shared" si="1"/>
        <v>25</v>
      </c>
      <c r="K10" s="3">
        <f t="shared" si="2"/>
        <v>0.40640624999999908</v>
      </c>
      <c r="L10" s="3">
        <f t="shared" si="3"/>
        <v>0.68062499999999959</v>
      </c>
      <c r="M10" s="3">
        <f t="shared" si="4"/>
        <v>4</v>
      </c>
      <c r="W10" s="27" t="s">
        <v>29</v>
      </c>
      <c r="X10" s="3">
        <f>X9-X8</f>
        <v>4.3005382933563059</v>
      </c>
    </row>
    <row r="11" spans="1:25" x14ac:dyDescent="0.25">
      <c r="F11" s="3">
        <v>10</v>
      </c>
      <c r="G11" s="13">
        <v>5.6</v>
      </c>
      <c r="H11" s="9">
        <v>3.5</v>
      </c>
      <c r="I11" s="3">
        <f t="shared" si="0"/>
        <v>19.599999999999998</v>
      </c>
      <c r="J11" s="3">
        <f t="shared" si="1"/>
        <v>31.359999999999996</v>
      </c>
      <c r="K11" s="3">
        <f t="shared" si="2"/>
        <v>1.5314062499999974</v>
      </c>
      <c r="L11" s="3">
        <f t="shared" si="3"/>
        <v>0.45562500000000034</v>
      </c>
      <c r="M11" s="3">
        <f t="shared" si="4"/>
        <v>12.25</v>
      </c>
    </row>
    <row r="12" spans="1:25" x14ac:dyDescent="0.25">
      <c r="F12" s="7">
        <v>11</v>
      </c>
      <c r="G12" s="13">
        <v>5.6</v>
      </c>
      <c r="H12" s="10">
        <v>2.8</v>
      </c>
      <c r="I12" s="3">
        <f t="shared" si="0"/>
        <v>15.679999999999998</v>
      </c>
      <c r="J12" s="3">
        <f t="shared" si="1"/>
        <v>31.359999999999996</v>
      </c>
      <c r="K12" s="3">
        <f t="shared" si="2"/>
        <v>1.5314062499999974</v>
      </c>
      <c r="L12" s="3">
        <f t="shared" si="3"/>
        <v>6.2499999999999557E-4</v>
      </c>
      <c r="M12" s="3">
        <f t="shared" si="4"/>
        <v>7.839999999999999</v>
      </c>
    </row>
    <row r="13" spans="1:25" ht="18.75" x14ac:dyDescent="0.25">
      <c r="F13" s="3">
        <v>12</v>
      </c>
      <c r="G13" s="13">
        <v>5.6</v>
      </c>
      <c r="H13" s="9">
        <v>2.1</v>
      </c>
      <c r="I13" s="3">
        <f t="shared" si="0"/>
        <v>11.76</v>
      </c>
      <c r="J13" s="3">
        <f t="shared" si="1"/>
        <v>31.359999999999996</v>
      </c>
      <c r="K13" s="3">
        <f t="shared" si="2"/>
        <v>1.5314062499999974</v>
      </c>
      <c r="L13" s="3">
        <f t="shared" si="3"/>
        <v>0.52562499999999945</v>
      </c>
      <c r="M13" s="3">
        <f t="shared" si="4"/>
        <v>4.41</v>
      </c>
      <c r="T13" s="27" t="s">
        <v>30</v>
      </c>
      <c r="U13" s="27" t="s">
        <v>27</v>
      </c>
      <c r="V13" s="27" t="s">
        <v>17</v>
      </c>
      <c r="W13" s="27" t="s">
        <v>18</v>
      </c>
      <c r="X13" s="27" t="s">
        <v>19</v>
      </c>
      <c r="Y13" s="27" t="s">
        <v>31</v>
      </c>
    </row>
    <row r="14" spans="1:25" ht="18.75" x14ac:dyDescent="0.25">
      <c r="F14" s="7">
        <v>13</v>
      </c>
      <c r="G14" s="13">
        <v>6</v>
      </c>
      <c r="H14" s="9">
        <v>3.2</v>
      </c>
      <c r="I14" s="3">
        <f t="shared" si="0"/>
        <v>19.200000000000003</v>
      </c>
      <c r="J14" s="3">
        <f t="shared" si="1"/>
        <v>36</v>
      </c>
      <c r="K14" s="3">
        <f t="shared" si="2"/>
        <v>2.6814062499999975</v>
      </c>
      <c r="L14" s="3">
        <f t="shared" si="3"/>
        <v>0.14062500000000033</v>
      </c>
      <c r="M14" s="3">
        <f t="shared" si="4"/>
        <v>10.240000000000002</v>
      </c>
      <c r="T14" s="27" t="s">
        <v>15</v>
      </c>
      <c r="U14" s="3">
        <v>1</v>
      </c>
      <c r="V14" s="3">
        <f>P6</f>
        <v>3.4927950399770267</v>
      </c>
      <c r="W14" s="3">
        <f>V14/U14</f>
        <v>3.4927950399770267</v>
      </c>
      <c r="X14" s="3">
        <f>W14/W15</f>
        <v>6.6645447177920012</v>
      </c>
      <c r="Y14" s="3"/>
    </row>
    <row r="15" spans="1:25" ht="18.75" x14ac:dyDescent="0.25">
      <c r="F15" s="3">
        <v>14</v>
      </c>
      <c r="G15" s="13">
        <v>6</v>
      </c>
      <c r="H15" s="9">
        <v>3.4</v>
      </c>
      <c r="I15" s="3">
        <f t="shared" si="0"/>
        <v>20.399999999999999</v>
      </c>
      <c r="J15" s="3">
        <f t="shared" si="1"/>
        <v>36</v>
      </c>
      <c r="K15" s="3">
        <f t="shared" si="2"/>
        <v>2.6814062499999975</v>
      </c>
      <c r="L15" s="3">
        <f t="shared" si="3"/>
        <v>0.33062500000000022</v>
      </c>
      <c r="M15" s="3">
        <f t="shared" si="4"/>
        <v>11.559999999999999</v>
      </c>
      <c r="T15" s="27" t="s">
        <v>32</v>
      </c>
      <c r="U15" s="3">
        <f>F17-2</f>
        <v>14</v>
      </c>
      <c r="V15" s="3">
        <f>P7</f>
        <v>7.337204960022973</v>
      </c>
      <c r="W15" s="3">
        <f t="shared" ref="W15:W17" si="6">V15/U15</f>
        <v>0.5240860685730695</v>
      </c>
      <c r="X15" s="3"/>
      <c r="Y15" s="3"/>
    </row>
    <row r="16" spans="1:25" ht="18.75" x14ac:dyDescent="0.25">
      <c r="F16" s="7">
        <v>15</v>
      </c>
      <c r="G16" s="4">
        <v>6.5</v>
      </c>
      <c r="H16" s="9">
        <v>3.4</v>
      </c>
      <c r="I16" s="3">
        <f t="shared" si="0"/>
        <v>22.099999999999998</v>
      </c>
      <c r="J16" s="3">
        <f t="shared" si="1"/>
        <v>42.25</v>
      </c>
      <c r="K16" s="3">
        <f t="shared" si="2"/>
        <v>4.5689062499999968</v>
      </c>
      <c r="L16" s="3">
        <f t="shared" si="3"/>
        <v>0.33062500000000022</v>
      </c>
      <c r="M16" s="3">
        <f t="shared" si="4"/>
        <v>11.559999999999999</v>
      </c>
      <c r="T16" s="27" t="s">
        <v>33</v>
      </c>
      <c r="U16" s="3">
        <f>U15-Y7</f>
        <v>7</v>
      </c>
      <c r="V16" s="3">
        <f>X10</f>
        <v>4.3005382933563059</v>
      </c>
      <c r="W16" s="3">
        <f t="shared" si="6"/>
        <v>0.61436261333661513</v>
      </c>
      <c r="X16" s="3">
        <f>W16/W17</f>
        <v>1.4162036092282018</v>
      </c>
      <c r="Y16" s="3"/>
    </row>
    <row r="17" spans="6:25" ht="18.75" x14ac:dyDescent="0.25">
      <c r="F17" s="3">
        <v>16</v>
      </c>
      <c r="G17" s="4">
        <v>6.9</v>
      </c>
      <c r="H17" s="9">
        <v>5</v>
      </c>
      <c r="I17" s="3">
        <f t="shared" si="0"/>
        <v>34.5</v>
      </c>
      <c r="J17" s="3">
        <f t="shared" si="1"/>
        <v>47.610000000000007</v>
      </c>
      <c r="K17" s="3">
        <f t="shared" si="2"/>
        <v>6.4389062499999978</v>
      </c>
      <c r="L17" s="3">
        <f t="shared" si="3"/>
        <v>4.7306250000000007</v>
      </c>
      <c r="M17" s="3">
        <f t="shared" si="4"/>
        <v>25</v>
      </c>
      <c r="T17" s="27" t="s">
        <v>34</v>
      </c>
      <c r="U17" s="3">
        <f>Y7</f>
        <v>7</v>
      </c>
      <c r="V17" s="3">
        <f>X8</f>
        <v>3.0366666666666666</v>
      </c>
      <c r="W17" s="3">
        <f t="shared" si="6"/>
        <v>0.43380952380952381</v>
      </c>
      <c r="X17" s="3"/>
      <c r="Y17" s="3"/>
    </row>
    <row r="18" spans="6:25" ht="18.75" x14ac:dyDescent="0.25">
      <c r="F18" s="12" t="s">
        <v>9</v>
      </c>
      <c r="G18" s="12">
        <f>SUM(G2:G17)</f>
        <v>69.800000000000011</v>
      </c>
      <c r="H18" s="12">
        <f t="shared" ref="H18:M18" si="7">SUM(H2:H17)</f>
        <v>45.199999999999996</v>
      </c>
      <c r="I18" s="12">
        <f t="shared" si="7"/>
        <v>210.69</v>
      </c>
      <c r="J18" s="12">
        <f t="shared" si="7"/>
        <v>356.71999999999997</v>
      </c>
      <c r="K18" s="12">
        <f t="shared" si="7"/>
        <v>52.217499999999994</v>
      </c>
      <c r="L18" s="12">
        <f t="shared" si="7"/>
        <v>10.83</v>
      </c>
      <c r="M18" s="12">
        <f t="shared" si="7"/>
        <v>138.52000000000001</v>
      </c>
      <c r="T18" s="27" t="s">
        <v>16</v>
      </c>
      <c r="U18" s="3">
        <f>U14+U15</f>
        <v>15</v>
      </c>
      <c r="V18" s="3">
        <f>V14+V15</f>
        <v>10.83</v>
      </c>
      <c r="W18" s="3"/>
      <c r="X18" s="3"/>
      <c r="Y18" s="3"/>
    </row>
    <row r="19" spans="6:25" x14ac:dyDescent="0.25">
      <c r="F19" s="29" t="s">
        <v>10</v>
      </c>
      <c r="G19" s="29">
        <f>G18/$F$17</f>
        <v>4.3625000000000007</v>
      </c>
      <c r="H19" s="29">
        <f>H18/$F$17</f>
        <v>2.8249999999999997</v>
      </c>
    </row>
  </sheetData>
  <pageMargins left="0.7" right="0.7" top="0.75" bottom="0.75" header="0.3" footer="0.3"/>
  <ignoredErrors>
    <ignoredError sqref="W2:W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A2B6-8A85-4754-96D3-8EC25B91387E}">
  <dimension ref="A1:P27"/>
  <sheetViews>
    <sheetView tabSelected="1" workbookViewId="0">
      <selection activeCell="L18" sqref="L18"/>
    </sheetView>
  </sheetViews>
  <sheetFormatPr defaultRowHeight="15" x14ac:dyDescent="0.25"/>
  <cols>
    <col min="1" max="1" width="9.140625" style="40"/>
    <col min="8" max="12" width="9.140625" style="1"/>
    <col min="13" max="13" width="11.42578125" style="1" customWidth="1"/>
    <col min="14" max="14" width="11.28515625" style="1" customWidth="1"/>
    <col min="15" max="16" width="9.140625" style="1"/>
  </cols>
  <sheetData>
    <row r="1" spans="1:16" ht="16.5" thickBot="1" x14ac:dyDescent="0.3">
      <c r="A1" s="47" t="s">
        <v>8</v>
      </c>
      <c r="B1" s="43" t="s">
        <v>35</v>
      </c>
      <c r="C1" s="44" t="s">
        <v>36</v>
      </c>
      <c r="D1" s="44" t="s">
        <v>37</v>
      </c>
      <c r="E1" s="44" t="s">
        <v>3</v>
      </c>
      <c r="F1" s="45" t="s">
        <v>38</v>
      </c>
      <c r="G1" s="48"/>
      <c r="H1" s="62"/>
      <c r="I1" s="62"/>
    </row>
    <row r="2" spans="1:16" ht="16.5" thickBot="1" x14ac:dyDescent="0.3">
      <c r="A2" s="46">
        <v>1</v>
      </c>
      <c r="B2" s="35">
        <v>0.99</v>
      </c>
      <c r="C2" s="14">
        <v>90.01</v>
      </c>
      <c r="D2" s="14">
        <f>B2*B2</f>
        <v>0.98009999999999997</v>
      </c>
      <c r="E2" s="14">
        <f>C2*C2</f>
        <v>8101.8001000000013</v>
      </c>
      <c r="F2" s="15">
        <f>B2*C2</f>
        <v>89.10990000000001</v>
      </c>
      <c r="G2" s="40"/>
      <c r="H2" s="23" t="s">
        <v>12</v>
      </c>
      <c r="I2" s="23">
        <f>D22-B22*B23</f>
        <v>0.68087999999999482</v>
      </c>
    </row>
    <row r="3" spans="1:16" ht="15.75" x14ac:dyDescent="0.25">
      <c r="A3" s="16">
        <v>2</v>
      </c>
      <c r="B3" s="36">
        <v>1.02</v>
      </c>
      <c r="C3" s="8">
        <v>89.05</v>
      </c>
      <c r="D3" s="8">
        <f t="shared" ref="D3:D21" si="0">B3*B3</f>
        <v>1.0404</v>
      </c>
      <c r="E3" s="8">
        <f t="shared" ref="E3:E21" si="1">C3*C3</f>
        <v>7929.9024999999992</v>
      </c>
      <c r="F3" s="17">
        <f t="shared" ref="F3:F21" si="2">B3*C3</f>
        <v>90.831000000000003</v>
      </c>
      <c r="G3" s="40"/>
      <c r="H3" s="23" t="s">
        <v>20</v>
      </c>
      <c r="I3" s="23">
        <f>E22-C22*C23</f>
        <v>173.37689499999397</v>
      </c>
      <c r="K3" s="24" t="s">
        <v>42</v>
      </c>
      <c r="L3" s="25"/>
      <c r="M3" s="25"/>
      <c r="N3" s="25"/>
      <c r="O3" s="25"/>
      <c r="P3" s="26"/>
    </row>
    <row r="4" spans="1:16" ht="15.75" x14ac:dyDescent="0.25">
      <c r="A4" s="16">
        <v>3</v>
      </c>
      <c r="B4" s="36">
        <v>1.1499999999999999</v>
      </c>
      <c r="C4" s="8">
        <v>91.43</v>
      </c>
      <c r="D4" s="8">
        <f t="shared" si="0"/>
        <v>1.3224999999999998</v>
      </c>
      <c r="E4" s="8">
        <f t="shared" si="1"/>
        <v>8359.4449000000004</v>
      </c>
      <c r="F4" s="17">
        <f t="shared" si="2"/>
        <v>105.14449999999999</v>
      </c>
      <c r="G4" s="40"/>
      <c r="H4" s="23" t="s">
        <v>11</v>
      </c>
      <c r="I4" s="23">
        <f>F22-B22*C22/20</f>
        <v>10.177439999999933</v>
      </c>
      <c r="K4" s="49" t="s">
        <v>30</v>
      </c>
      <c r="L4" s="6" t="s">
        <v>27</v>
      </c>
      <c r="M4" s="6" t="s">
        <v>17</v>
      </c>
      <c r="N4" s="6" t="s">
        <v>18</v>
      </c>
      <c r="O4" s="6" t="s">
        <v>19</v>
      </c>
      <c r="P4" s="50" t="s">
        <v>31</v>
      </c>
    </row>
    <row r="5" spans="1:16" ht="15.75" x14ac:dyDescent="0.25">
      <c r="A5" s="16">
        <v>4</v>
      </c>
      <c r="B5" s="36">
        <v>1.29</v>
      </c>
      <c r="C5" s="8">
        <v>93.74</v>
      </c>
      <c r="D5" s="8">
        <f t="shared" si="0"/>
        <v>1.6641000000000001</v>
      </c>
      <c r="E5" s="8">
        <f t="shared" si="1"/>
        <v>8787.1875999999993</v>
      </c>
      <c r="F5" s="17">
        <f t="shared" si="2"/>
        <v>120.9246</v>
      </c>
      <c r="G5" s="40"/>
      <c r="H5" s="23"/>
      <c r="I5" s="23"/>
      <c r="K5" s="49" t="s">
        <v>41</v>
      </c>
      <c r="L5" s="3">
        <v>1</v>
      </c>
      <c r="M5" s="3">
        <f>I9</f>
        <v>152.12707812477885</v>
      </c>
      <c r="N5" s="3">
        <f>M5/L5</f>
        <v>152.12707812477885</v>
      </c>
      <c r="O5" s="3">
        <f>N5/N6</f>
        <v>128.86169430663853</v>
      </c>
      <c r="P5" s="51"/>
    </row>
    <row r="6" spans="1:16" ht="15.75" x14ac:dyDescent="0.25">
      <c r="A6" s="16">
        <v>5</v>
      </c>
      <c r="B6" s="36">
        <v>1.46</v>
      </c>
      <c r="C6" s="8">
        <v>96.73</v>
      </c>
      <c r="D6" s="8">
        <f t="shared" si="0"/>
        <v>2.1315999999999997</v>
      </c>
      <c r="E6" s="8">
        <f t="shared" si="1"/>
        <v>9356.6929</v>
      </c>
      <c r="F6" s="17">
        <f t="shared" si="2"/>
        <v>141.22579999999999</v>
      </c>
      <c r="G6" s="40"/>
      <c r="H6" s="23" t="s">
        <v>13</v>
      </c>
      <c r="I6" s="23">
        <f>I4/I2</f>
        <v>14.9474797321114</v>
      </c>
      <c r="K6" s="49" t="s">
        <v>32</v>
      </c>
      <c r="L6" s="3">
        <f>20-2</f>
        <v>18</v>
      </c>
      <c r="M6" s="3">
        <f>I10</f>
        <v>21.249816875215117</v>
      </c>
      <c r="N6" s="3">
        <f t="shared" ref="N6" si="3">M6/L6</f>
        <v>1.1805453819563954</v>
      </c>
      <c r="O6" s="3"/>
      <c r="P6" s="51"/>
    </row>
    <row r="7" spans="1:16" ht="16.5" thickBot="1" x14ac:dyDescent="0.3">
      <c r="A7" s="16">
        <v>6</v>
      </c>
      <c r="B7" s="36">
        <v>1.36</v>
      </c>
      <c r="C7" s="8">
        <v>94.45</v>
      </c>
      <c r="D7" s="8">
        <f t="shared" si="0"/>
        <v>1.8496000000000004</v>
      </c>
      <c r="E7" s="8">
        <f t="shared" si="1"/>
        <v>8920.8024999999998</v>
      </c>
      <c r="F7" s="17">
        <f t="shared" si="2"/>
        <v>128.45200000000003</v>
      </c>
      <c r="G7" s="40"/>
      <c r="H7" s="23" t="s">
        <v>14</v>
      </c>
      <c r="I7" s="23">
        <f>C23-I6*B23</f>
        <v>74.283314240394759</v>
      </c>
      <c r="K7" s="59" t="s">
        <v>16</v>
      </c>
      <c r="L7" s="52">
        <f>20-1</f>
        <v>19</v>
      </c>
      <c r="M7" s="52">
        <f>I11</f>
        <v>173.37689499999397</v>
      </c>
      <c r="N7" s="52"/>
      <c r="O7" s="52"/>
      <c r="P7" s="53"/>
    </row>
    <row r="8" spans="1:16" ht="16.5" thickBot="1" x14ac:dyDescent="0.3">
      <c r="A8" s="16">
        <v>7</v>
      </c>
      <c r="B8" s="36">
        <v>0.87</v>
      </c>
      <c r="C8" s="8">
        <v>87.59</v>
      </c>
      <c r="D8" s="8">
        <f t="shared" si="0"/>
        <v>0.75690000000000002</v>
      </c>
      <c r="E8" s="8">
        <f t="shared" si="1"/>
        <v>7672.0081000000009</v>
      </c>
      <c r="F8" s="17">
        <f t="shared" si="2"/>
        <v>76.203299999999999</v>
      </c>
      <c r="G8" s="40"/>
      <c r="H8" s="23"/>
      <c r="I8" s="23"/>
    </row>
    <row r="9" spans="1:16" ht="15.75" x14ac:dyDescent="0.25">
      <c r="A9" s="16">
        <v>8</v>
      </c>
      <c r="B9" s="36">
        <v>1.23</v>
      </c>
      <c r="C9" s="8">
        <v>91.77</v>
      </c>
      <c r="D9" s="8">
        <f t="shared" si="0"/>
        <v>1.5128999999999999</v>
      </c>
      <c r="E9" s="8">
        <f t="shared" si="1"/>
        <v>8421.7328999999991</v>
      </c>
      <c r="F9" s="17">
        <f t="shared" si="2"/>
        <v>112.8771</v>
      </c>
      <c r="G9" s="40"/>
      <c r="H9" s="23" t="s">
        <v>24</v>
      </c>
      <c r="I9" s="23">
        <f>I6*I4</f>
        <v>152.12707812477885</v>
      </c>
      <c r="L9" s="54" t="s">
        <v>44</v>
      </c>
      <c r="M9" s="55">
        <f>N6</f>
        <v>1.1805453819563954</v>
      </c>
      <c r="N9" s="56"/>
      <c r="O9" s="57"/>
    </row>
    <row r="10" spans="1:16" ht="15.75" x14ac:dyDescent="0.25">
      <c r="A10" s="16">
        <v>9</v>
      </c>
      <c r="B10" s="36">
        <v>1.55</v>
      </c>
      <c r="C10" s="8">
        <v>99.42</v>
      </c>
      <c r="D10" s="8">
        <f t="shared" si="0"/>
        <v>2.4025000000000003</v>
      </c>
      <c r="E10" s="8">
        <f t="shared" si="1"/>
        <v>9884.3364000000001</v>
      </c>
      <c r="F10" s="17">
        <f t="shared" si="2"/>
        <v>154.101</v>
      </c>
      <c r="G10" s="40"/>
      <c r="H10" s="23" t="s">
        <v>25</v>
      </c>
      <c r="I10" s="23">
        <f>I11-I9</f>
        <v>21.249816875215117</v>
      </c>
      <c r="L10" s="49" t="s">
        <v>43</v>
      </c>
      <c r="M10" s="58">
        <f>SQRT(M9/I2)</f>
        <v>1.3167582697761862</v>
      </c>
      <c r="N10" s="6" t="s">
        <v>48</v>
      </c>
      <c r="O10" s="51">
        <f>SQRT(M9*((1/20)+(B23*B23/I2)))</f>
        <v>1.5934733757851025</v>
      </c>
    </row>
    <row r="11" spans="1:16" ht="15.75" x14ac:dyDescent="0.25">
      <c r="A11" s="16">
        <v>10</v>
      </c>
      <c r="B11" s="36">
        <v>1.4</v>
      </c>
      <c r="C11" s="8">
        <v>93.65</v>
      </c>
      <c r="D11" s="8">
        <f t="shared" si="0"/>
        <v>1.9599999999999997</v>
      </c>
      <c r="E11" s="8">
        <f t="shared" si="1"/>
        <v>8770.3225000000002</v>
      </c>
      <c r="F11" s="17">
        <f t="shared" si="2"/>
        <v>131.11000000000001</v>
      </c>
      <c r="G11" s="40"/>
      <c r="H11" s="23" t="s">
        <v>39</v>
      </c>
      <c r="I11" s="23">
        <f>I3</f>
        <v>173.37689499999397</v>
      </c>
      <c r="L11" s="49" t="s">
        <v>45</v>
      </c>
      <c r="M11" s="58">
        <v>2.101</v>
      </c>
      <c r="N11" s="6" t="s">
        <v>45</v>
      </c>
      <c r="O11" s="51">
        <v>2.101</v>
      </c>
    </row>
    <row r="12" spans="1:16" ht="15.75" x14ac:dyDescent="0.25">
      <c r="A12" s="16">
        <v>11</v>
      </c>
      <c r="B12" s="36">
        <v>1.19</v>
      </c>
      <c r="C12" s="8">
        <v>93.54</v>
      </c>
      <c r="D12" s="8">
        <f t="shared" si="0"/>
        <v>1.4160999999999999</v>
      </c>
      <c r="E12" s="8">
        <f t="shared" si="1"/>
        <v>8749.731600000001</v>
      </c>
      <c r="F12" s="17">
        <f t="shared" si="2"/>
        <v>111.3126</v>
      </c>
      <c r="G12" s="40"/>
      <c r="H12" s="23" t="s">
        <v>40</v>
      </c>
      <c r="I12" s="23">
        <f>I9/I11</f>
        <v>0.87743570517158087</v>
      </c>
      <c r="L12" s="49" t="s">
        <v>46</v>
      </c>
      <c r="M12" s="58">
        <f>I6+M10*M11</f>
        <v>17.713988856911168</v>
      </c>
      <c r="N12" s="6" t="s">
        <v>49</v>
      </c>
      <c r="O12" s="51">
        <f>I7+O10*O11</f>
        <v>77.631201802919264</v>
      </c>
    </row>
    <row r="13" spans="1:16" ht="15.75" thickBot="1" x14ac:dyDescent="0.3">
      <c r="A13" s="16">
        <v>12</v>
      </c>
      <c r="B13" s="36">
        <v>1.1499999999999999</v>
      </c>
      <c r="C13" s="8">
        <v>92.52</v>
      </c>
      <c r="D13" s="8">
        <f t="shared" si="0"/>
        <v>1.3224999999999998</v>
      </c>
      <c r="E13" s="8">
        <f t="shared" si="1"/>
        <v>8559.9503999999997</v>
      </c>
      <c r="F13" s="17">
        <f t="shared" si="2"/>
        <v>106.39799999999998</v>
      </c>
      <c r="G13" s="40"/>
      <c r="L13" s="59" t="s">
        <v>47</v>
      </c>
      <c r="M13" s="60">
        <f>I6-M10*M11</f>
        <v>12.180970607311632</v>
      </c>
      <c r="N13" s="61" t="s">
        <v>50</v>
      </c>
      <c r="O13" s="53">
        <f>I7-O10*O11</f>
        <v>70.935426677870254</v>
      </c>
    </row>
    <row r="14" spans="1:16" x14ac:dyDescent="0.25">
      <c r="A14" s="16">
        <v>13</v>
      </c>
      <c r="B14" s="36">
        <v>0.98</v>
      </c>
      <c r="C14" s="8">
        <v>90.56</v>
      </c>
      <c r="D14" s="8">
        <f t="shared" si="0"/>
        <v>0.96039999999999992</v>
      </c>
      <c r="E14" s="8">
        <f t="shared" si="1"/>
        <v>8201.1136000000006</v>
      </c>
      <c r="F14" s="17">
        <f t="shared" si="2"/>
        <v>88.748800000000003</v>
      </c>
      <c r="G14" s="40"/>
      <c r="H14" s="63"/>
      <c r="I14" s="63"/>
    </row>
    <row r="15" spans="1:16" x14ac:dyDescent="0.25">
      <c r="A15" s="16">
        <v>14</v>
      </c>
      <c r="B15" s="36">
        <v>1.01</v>
      </c>
      <c r="C15" s="8">
        <v>89.54</v>
      </c>
      <c r="D15" s="8">
        <f t="shared" si="0"/>
        <v>1.0201</v>
      </c>
      <c r="E15" s="8">
        <f t="shared" si="1"/>
        <v>8017.4116000000013</v>
      </c>
      <c r="F15" s="17">
        <f t="shared" si="2"/>
        <v>90.435400000000001</v>
      </c>
      <c r="G15" s="40"/>
    </row>
    <row r="16" spans="1:16" x14ac:dyDescent="0.25">
      <c r="A16" s="16">
        <v>15</v>
      </c>
      <c r="B16" s="36">
        <v>1.1100000000000001</v>
      </c>
      <c r="C16" s="8">
        <v>89.85</v>
      </c>
      <c r="D16" s="8">
        <f t="shared" si="0"/>
        <v>1.2321000000000002</v>
      </c>
      <c r="E16" s="8">
        <f t="shared" si="1"/>
        <v>8073.0224999999991</v>
      </c>
      <c r="F16" s="17">
        <f t="shared" si="2"/>
        <v>99.733500000000006</v>
      </c>
      <c r="G16" s="40"/>
      <c r="K16" s="64" t="s">
        <v>51</v>
      </c>
      <c r="L16" s="65"/>
      <c r="N16" s="64" t="s">
        <v>52</v>
      </c>
      <c r="O16" s="65"/>
    </row>
    <row r="17" spans="1:15" x14ac:dyDescent="0.25">
      <c r="A17" s="16">
        <v>16</v>
      </c>
      <c r="B17" s="36">
        <v>1.2</v>
      </c>
      <c r="C17" s="8">
        <v>90.39</v>
      </c>
      <c r="D17" s="8">
        <f t="shared" si="0"/>
        <v>1.44</v>
      </c>
      <c r="E17" s="8">
        <f t="shared" si="1"/>
        <v>8170.3521000000001</v>
      </c>
      <c r="F17" s="17">
        <f t="shared" si="2"/>
        <v>108.468</v>
      </c>
      <c r="G17" s="40"/>
      <c r="K17" s="6" t="s">
        <v>1</v>
      </c>
      <c r="L17" s="3">
        <f>I7+I6*1.01</f>
        <v>89.380268769827268</v>
      </c>
      <c r="N17" s="3" t="s">
        <v>1</v>
      </c>
      <c r="O17" s="3">
        <f>I7+I6*1</f>
        <v>89.230793972506163</v>
      </c>
    </row>
    <row r="18" spans="1:15" x14ac:dyDescent="0.25">
      <c r="A18" s="16">
        <v>17</v>
      </c>
      <c r="B18" s="36">
        <v>1.26</v>
      </c>
      <c r="C18" s="8">
        <v>93.25</v>
      </c>
      <c r="D18" s="8">
        <f t="shared" si="0"/>
        <v>1.5876000000000001</v>
      </c>
      <c r="E18" s="8">
        <f t="shared" si="1"/>
        <v>8695.5625</v>
      </c>
      <c r="F18" s="17">
        <f t="shared" si="2"/>
        <v>117.495</v>
      </c>
      <c r="G18" s="40"/>
      <c r="K18" s="6" t="s">
        <v>55</v>
      </c>
      <c r="L18" s="3">
        <f>SQRT(N6*(1+(1/20)+((1.01-B23)^2)/I2))</f>
        <v>1.1399811431090783</v>
      </c>
      <c r="N18" s="3" t="s">
        <v>55</v>
      </c>
      <c r="O18" s="3">
        <f>SQRT(N6*(1+(1/20)+((1-B23)^2)/I2))</f>
        <v>1.142882462279911</v>
      </c>
    </row>
    <row r="19" spans="1:15" x14ac:dyDescent="0.25">
      <c r="A19" s="16">
        <v>18</v>
      </c>
      <c r="B19" s="36">
        <v>1.32</v>
      </c>
      <c r="C19" s="8">
        <v>93.41</v>
      </c>
      <c r="D19" s="8">
        <f t="shared" si="0"/>
        <v>1.7424000000000002</v>
      </c>
      <c r="E19" s="8">
        <f t="shared" si="1"/>
        <v>8725.4280999999992</v>
      </c>
      <c r="F19" s="17">
        <f t="shared" si="2"/>
        <v>123.30119999999999</v>
      </c>
      <c r="G19" s="40"/>
      <c r="K19" s="6" t="s">
        <v>45</v>
      </c>
      <c r="L19" s="3">
        <v>2.101</v>
      </c>
      <c r="N19" s="3" t="s">
        <v>45</v>
      </c>
      <c r="O19" s="3">
        <v>2.101</v>
      </c>
    </row>
    <row r="20" spans="1:15" x14ac:dyDescent="0.25">
      <c r="A20" s="16">
        <v>19</v>
      </c>
      <c r="B20" s="36">
        <v>1.43</v>
      </c>
      <c r="C20" s="8">
        <v>94.98</v>
      </c>
      <c r="D20" s="8">
        <f t="shared" si="0"/>
        <v>2.0448999999999997</v>
      </c>
      <c r="E20" s="8">
        <f t="shared" si="1"/>
        <v>9021.2004000000015</v>
      </c>
      <c r="F20" s="17">
        <f t="shared" si="2"/>
        <v>135.82140000000001</v>
      </c>
      <c r="G20" s="40"/>
      <c r="K20" s="6" t="s">
        <v>53</v>
      </c>
      <c r="L20" s="3">
        <f>L17+L18*L19</f>
        <v>91.775369151499447</v>
      </c>
      <c r="N20" s="3" t="s">
        <v>53</v>
      </c>
      <c r="O20" s="3">
        <f>O17+O18*O19</f>
        <v>91.631990025756252</v>
      </c>
    </row>
    <row r="21" spans="1:15" ht="15.75" thickBot="1" x14ac:dyDescent="0.3">
      <c r="A21" s="18">
        <v>20</v>
      </c>
      <c r="B21" s="37">
        <v>0.95</v>
      </c>
      <c r="C21" s="19">
        <v>87.33</v>
      </c>
      <c r="D21" s="19">
        <f t="shared" si="0"/>
        <v>0.90249999999999997</v>
      </c>
      <c r="E21" s="19">
        <f t="shared" si="1"/>
        <v>7626.5288999999993</v>
      </c>
      <c r="F21" s="20">
        <f t="shared" si="2"/>
        <v>82.963499999999996</v>
      </c>
      <c r="G21" s="40"/>
      <c r="K21" s="6" t="s">
        <v>54</v>
      </c>
      <c r="L21" s="3">
        <f>L17-L18*L19</f>
        <v>86.985168388155088</v>
      </c>
      <c r="N21" s="3" t="s">
        <v>54</v>
      </c>
      <c r="O21" s="3">
        <f>O17-O18*O19</f>
        <v>86.829597919256074</v>
      </c>
    </row>
    <row r="22" spans="1:15" ht="15.75" x14ac:dyDescent="0.25">
      <c r="A22" s="42" t="s">
        <v>56</v>
      </c>
      <c r="B22" s="38">
        <f>SUM(B2:B21)</f>
        <v>23.92</v>
      </c>
      <c r="C22" s="21">
        <f>SUM(C2:C21)</f>
        <v>1843.21</v>
      </c>
      <c r="D22" s="21">
        <f t="shared" ref="D22:F22" si="4">SUM(D2:D21)</f>
        <v>29.289200000000001</v>
      </c>
      <c r="E22" s="21">
        <f t="shared" si="4"/>
        <v>170044.53209999998</v>
      </c>
      <c r="F22" s="21">
        <f t="shared" si="4"/>
        <v>2214.6565999999998</v>
      </c>
      <c r="G22" s="40"/>
      <c r="H22" s="63"/>
      <c r="I22" s="63"/>
    </row>
    <row r="23" spans="1:15" ht="15.75" x14ac:dyDescent="0.25">
      <c r="A23" s="41" t="s">
        <v>10</v>
      </c>
      <c r="B23" s="39">
        <f>B22/20</f>
        <v>1.1960000000000002</v>
      </c>
      <c r="C23" s="22">
        <f>C22/20</f>
        <v>92.160499999999999</v>
      </c>
      <c r="D23" s="22"/>
      <c r="E23" s="22"/>
      <c r="F23" s="22"/>
      <c r="G23" s="40"/>
      <c r="H23" s="63"/>
      <c r="I23" s="63"/>
    </row>
    <row r="24" spans="1:15" x14ac:dyDescent="0.25">
      <c r="G24" s="40"/>
      <c r="H24" s="63"/>
      <c r="I24" s="63"/>
    </row>
    <row r="25" spans="1:15" x14ac:dyDescent="0.25">
      <c r="G25" s="40"/>
      <c r="H25" s="63"/>
      <c r="I25" s="63"/>
    </row>
    <row r="26" spans="1:15" x14ac:dyDescent="0.25">
      <c r="G26" s="40"/>
      <c r="H26" s="63"/>
      <c r="I26" s="63"/>
    </row>
    <row r="27" spans="1:15" x14ac:dyDescent="0.25">
      <c r="G27" s="40"/>
      <c r="H27" s="63"/>
      <c r="I27" s="63"/>
    </row>
  </sheetData>
  <mergeCells count="3">
    <mergeCell ref="K3:P3"/>
    <mergeCell ref="K16:L16"/>
    <mergeCell ref="N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Q2_27</vt:lpstr>
      <vt:lpstr>Q1_30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Shubhankhi</dc:creator>
  <cp:lastModifiedBy>Pramatosh</cp:lastModifiedBy>
  <dcterms:created xsi:type="dcterms:W3CDTF">2021-06-07T04:26:55Z</dcterms:created>
  <dcterms:modified xsi:type="dcterms:W3CDTF">2021-07-21T06:47:32Z</dcterms:modified>
</cp:coreProperties>
</file>