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5. Non Parametric Test\"/>
    </mc:Choice>
  </mc:AlternateContent>
  <xr:revisionPtr revIDLastSave="0" documentId="13_ncr:1_{3C573F8D-2374-4EAF-8FC3-89AA0E6316EA}" xr6:coauthVersionLast="47" xr6:coauthVersionMax="47" xr10:uidLastSave="{00000000-0000-0000-0000-000000000000}"/>
  <bookViews>
    <workbookView xWindow="-120" yWindow="-120" windowWidth="20730" windowHeight="11160" tabRatio="879" activeTab="2" xr2:uid="{58AC496F-25F7-4E3C-A028-00D73FA313BA}"/>
  </bookViews>
  <sheets>
    <sheet name="Sign T" sheetId="1" r:id="rId1"/>
    <sheet name="Wilcoxon" sheetId="2" r:id="rId2"/>
    <sheet name="M-W" sheetId="3" r:id="rId3"/>
    <sheet name="Run" sheetId="4" r:id="rId4"/>
    <sheet name="Kolmo-smir" sheetId="5" r:id="rId5"/>
    <sheet name="2 Sample Kolmo" sheetId="6" r:id="rId6"/>
    <sheet name="Spearman" sheetId="7" r:id="rId7"/>
    <sheet name="Confidence Int" sheetId="8" r:id="rId8"/>
    <sheet name="Kruskal-Wallis" sheetId="9" r:id="rId9"/>
    <sheet name="A-D Test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J9" i="10"/>
  <c r="I2" i="10"/>
  <c r="C2" i="10"/>
  <c r="F5" i="9"/>
  <c r="K7" i="9"/>
  <c r="K3" i="9"/>
  <c r="K4" i="9"/>
  <c r="K5" i="9"/>
  <c r="K6" i="9"/>
  <c r="K2" i="9"/>
  <c r="F2" i="9"/>
  <c r="C2" i="8"/>
  <c r="L4" i="7"/>
  <c r="L3" i="7"/>
  <c r="D2" i="5" l="1"/>
  <c r="C2" i="5"/>
  <c r="C2" i="1"/>
  <c r="D2" i="1"/>
  <c r="F11" i="7"/>
  <c r="G11" i="7"/>
  <c r="H11" i="7"/>
  <c r="I11" i="7"/>
  <c r="H2" i="10" l="1"/>
  <c r="H3" i="10"/>
  <c r="H4" i="10"/>
  <c r="H5" i="10"/>
  <c r="I5" i="10" s="1"/>
  <c r="J5" i="10" s="1"/>
  <c r="H6" i="10"/>
  <c r="J6" i="10"/>
  <c r="I3" i="10"/>
  <c r="J3" i="10" s="1"/>
  <c r="I4" i="10"/>
  <c r="J4" i="10" s="1"/>
  <c r="I6" i="10"/>
  <c r="E2" i="10"/>
  <c r="J2" i="10" s="1"/>
  <c r="E3" i="10"/>
  <c r="E4" i="10"/>
  <c r="E5" i="10"/>
  <c r="E6" i="10"/>
  <c r="E7" i="10"/>
  <c r="G2" i="10"/>
  <c r="G3" i="10"/>
  <c r="G4" i="10"/>
  <c r="G5" i="10"/>
  <c r="G6" i="10"/>
  <c r="G7" i="10"/>
  <c r="H7" i="10" s="1"/>
  <c r="I7" i="10" s="1"/>
  <c r="J7" i="10" s="1"/>
  <c r="F2" i="10"/>
  <c r="F3" i="10"/>
  <c r="F4" i="10"/>
  <c r="F5" i="10"/>
  <c r="F6" i="10"/>
  <c r="F7" i="10"/>
  <c r="D2" i="10"/>
  <c r="D3" i="10"/>
  <c r="D4" i="10"/>
  <c r="D5" i="10"/>
  <c r="D6" i="10"/>
  <c r="D7" i="10"/>
  <c r="C6" i="10"/>
  <c r="C7" i="10"/>
  <c r="C10" i="10"/>
  <c r="C9" i="10"/>
  <c r="F4" i="9"/>
  <c r="D5" i="8"/>
  <c r="D7" i="8"/>
  <c r="D9" i="8"/>
  <c r="D11" i="8"/>
  <c r="D13" i="8"/>
  <c r="D15" i="8"/>
  <c r="D17" i="8"/>
  <c r="C3" i="8"/>
  <c r="C5" i="8"/>
  <c r="C7" i="8"/>
  <c r="C9" i="8"/>
  <c r="C11" i="8"/>
  <c r="C13" i="8"/>
  <c r="C15" i="8"/>
  <c r="C17" i="8"/>
  <c r="G1" i="8"/>
  <c r="D2" i="8" s="1"/>
  <c r="I8" i="7"/>
  <c r="I7" i="7"/>
  <c r="I2" i="7"/>
  <c r="I12" i="7"/>
  <c r="I4" i="7"/>
  <c r="I3" i="7"/>
  <c r="I10" i="7"/>
  <c r="I13" i="7"/>
  <c r="I9" i="7"/>
  <c r="I6" i="7"/>
  <c r="I5" i="7"/>
  <c r="H8" i="7"/>
  <c r="H7" i="7"/>
  <c r="H2" i="7"/>
  <c r="H12" i="7"/>
  <c r="H4" i="7"/>
  <c r="H3" i="7"/>
  <c r="H10" i="7"/>
  <c r="H13" i="7"/>
  <c r="H9" i="7"/>
  <c r="H6" i="7"/>
  <c r="H5" i="7"/>
  <c r="G8" i="7"/>
  <c r="G7" i="7"/>
  <c r="G2" i="7"/>
  <c r="G12" i="7"/>
  <c r="G4" i="7"/>
  <c r="G3" i="7"/>
  <c r="G10" i="7"/>
  <c r="G13" i="7"/>
  <c r="G9" i="7"/>
  <c r="G6" i="7"/>
  <c r="G5" i="7"/>
  <c r="F12" i="7"/>
  <c r="F9" i="7"/>
  <c r="F10" i="7"/>
  <c r="F3" i="7"/>
  <c r="F2" i="7"/>
  <c r="F7" i="7"/>
  <c r="F6" i="7"/>
  <c r="F5" i="7"/>
  <c r="F8" i="7"/>
  <c r="F13" i="7"/>
  <c r="F4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7" i="5"/>
  <c r="E2" i="5"/>
  <c r="F3" i="5" s="1"/>
  <c r="E3" i="5"/>
  <c r="F4" i="5" s="1"/>
  <c r="E4" i="5"/>
  <c r="F5" i="5" s="1"/>
  <c r="E5" i="5"/>
  <c r="F6" i="5" s="1"/>
  <c r="E6" i="5"/>
  <c r="E7" i="5"/>
  <c r="B10" i="5"/>
  <c r="C4" i="5" s="1"/>
  <c r="D4" i="5" s="1"/>
  <c r="H4" i="5" s="1"/>
  <c r="B9" i="5"/>
  <c r="C5" i="5" s="1"/>
  <c r="D5" i="5" s="1"/>
  <c r="G5" i="5" s="1"/>
  <c r="C3" i="4"/>
  <c r="D3" i="4" s="1"/>
  <c r="C5" i="4"/>
  <c r="D5" i="4" s="1"/>
  <c r="C7" i="4"/>
  <c r="D7" i="4" s="1"/>
  <c r="C9" i="4"/>
  <c r="D9" i="4" s="1"/>
  <c r="C11" i="4"/>
  <c r="D11" i="4" s="1"/>
  <c r="C13" i="4"/>
  <c r="D13" i="4" s="1"/>
  <c r="C15" i="4"/>
  <c r="D15" i="4" s="1"/>
  <c r="C17" i="4"/>
  <c r="D17" i="4" s="1"/>
  <c r="C19" i="4"/>
  <c r="D19" i="4" s="1"/>
  <c r="C21" i="4"/>
  <c r="D21" i="4" s="1"/>
  <c r="C23" i="4"/>
  <c r="D23" i="4" s="1"/>
  <c r="C25" i="4"/>
  <c r="D25" i="4" s="1"/>
  <c r="C27" i="4"/>
  <c r="D27" i="4" s="1"/>
  <c r="C4" i="4"/>
  <c r="D4" i="4" s="1"/>
  <c r="H7" i="3"/>
  <c r="H6" i="3"/>
  <c r="N19" i="2"/>
  <c r="N18" i="2"/>
  <c r="N2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F2" i="2"/>
  <c r="N15" i="2"/>
  <c r="N16" i="2"/>
  <c r="N9" i="2"/>
  <c r="M11" i="2"/>
  <c r="N11" i="2" s="1"/>
  <c r="M5" i="2"/>
  <c r="N5" i="2" s="1"/>
  <c r="M10" i="2"/>
  <c r="N10" i="2" s="1"/>
  <c r="M15" i="2"/>
  <c r="M6" i="2"/>
  <c r="N6" i="2" s="1"/>
  <c r="M4" i="2"/>
  <c r="N4" i="2" s="1"/>
  <c r="M14" i="2"/>
  <c r="N14" i="2" s="1"/>
  <c r="M16" i="2"/>
  <c r="M7" i="2"/>
  <c r="N7" i="2" s="1"/>
  <c r="M13" i="2"/>
  <c r="N13" i="2" s="1"/>
  <c r="M12" i="2"/>
  <c r="N12" i="2" s="1"/>
  <c r="M9" i="2"/>
  <c r="M8" i="2"/>
  <c r="N8" i="2" s="1"/>
  <c r="M3" i="2"/>
  <c r="N3" i="2" s="1"/>
  <c r="F14" i="2"/>
  <c r="F13" i="2"/>
  <c r="F15" i="2" s="1"/>
  <c r="C4" i="2"/>
  <c r="D4" i="2" s="1"/>
  <c r="C3" i="2"/>
  <c r="D3" i="2" s="1"/>
  <c r="C5" i="2"/>
  <c r="D5" i="2" s="1"/>
  <c r="C6" i="2"/>
  <c r="D6" i="2" s="1"/>
  <c r="C7" i="2"/>
  <c r="F7" i="2" s="1"/>
  <c r="C8" i="2"/>
  <c r="D8" i="2" s="1"/>
  <c r="C9" i="2"/>
  <c r="D9" i="2" s="1"/>
  <c r="C10" i="2"/>
  <c r="F10" i="2" s="1"/>
  <c r="C11" i="2"/>
  <c r="D11" i="2" s="1"/>
  <c r="C2" i="2"/>
  <c r="D2" i="2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I7" i="6" l="1"/>
  <c r="G4" i="5"/>
  <c r="H5" i="5"/>
  <c r="H14" i="7"/>
  <c r="F14" i="7"/>
  <c r="G14" i="7"/>
  <c r="I14" i="7"/>
  <c r="J11" i="10"/>
  <c r="C5" i="10"/>
  <c r="C4" i="10"/>
  <c r="C3" i="10"/>
  <c r="C16" i="8"/>
  <c r="C12" i="8"/>
  <c r="C8" i="8"/>
  <c r="C4" i="8"/>
  <c r="D16" i="8"/>
  <c r="D12" i="8"/>
  <c r="D8" i="8"/>
  <c r="D4" i="8"/>
  <c r="D3" i="8"/>
  <c r="C14" i="8"/>
  <c r="C10" i="8"/>
  <c r="C6" i="8"/>
  <c r="D14" i="8"/>
  <c r="G2" i="8" s="1"/>
  <c r="D10" i="8"/>
  <c r="D6" i="8"/>
  <c r="C7" i="5"/>
  <c r="D7" i="5" s="1"/>
  <c r="C3" i="5"/>
  <c r="D3" i="5" s="1"/>
  <c r="C6" i="5"/>
  <c r="D6" i="5" s="1"/>
  <c r="C26" i="4"/>
  <c r="D26" i="4" s="1"/>
  <c r="C22" i="4"/>
  <c r="D22" i="4" s="1"/>
  <c r="C18" i="4"/>
  <c r="D18" i="4" s="1"/>
  <c r="C14" i="4"/>
  <c r="D14" i="4" s="1"/>
  <c r="C10" i="4"/>
  <c r="D10" i="4" s="1"/>
  <c r="C6" i="4"/>
  <c r="D6" i="4" s="1"/>
  <c r="C2" i="4"/>
  <c r="D2" i="4" s="1"/>
  <c r="C24" i="4"/>
  <c r="D24" i="4" s="1"/>
  <c r="C20" i="4"/>
  <c r="D20" i="4" s="1"/>
  <c r="C16" i="4"/>
  <c r="D16" i="4" s="1"/>
  <c r="C12" i="4"/>
  <c r="D12" i="4" s="1"/>
  <c r="C8" i="4"/>
  <c r="D8" i="4" s="1"/>
  <c r="F5" i="2"/>
  <c r="D10" i="2"/>
  <c r="F9" i="2"/>
  <c r="D7" i="2"/>
  <c r="F8" i="2"/>
  <c r="F3" i="2"/>
  <c r="F11" i="2"/>
  <c r="F4" i="2"/>
  <c r="F6" i="2"/>
  <c r="D14" i="1"/>
  <c r="D15" i="1" s="1"/>
  <c r="H3" i="5" l="1"/>
  <c r="G3" i="5"/>
  <c r="H7" i="5"/>
  <c r="G7" i="5"/>
  <c r="G2" i="5"/>
  <c r="H2" i="5"/>
  <c r="G6" i="5"/>
  <c r="H6" i="5"/>
  <c r="G9" i="5" l="1"/>
  <c r="G10" i="5" s="1"/>
  <c r="H9" i="5"/>
</calcChain>
</file>

<file path=xl/sharedStrings.xml><?xml version="1.0" encoding="utf-8"?>
<sst xmlns="http://schemas.openxmlformats.org/spreadsheetml/2006/main" count="120" uniqueCount="89">
  <si>
    <t>Data</t>
  </si>
  <si>
    <t>Assumed Median</t>
  </si>
  <si>
    <t>r+</t>
  </si>
  <si>
    <t>r-</t>
  </si>
  <si>
    <t>Sl. No</t>
  </si>
  <si>
    <t>Assumed Mean</t>
  </si>
  <si>
    <t>Difference</t>
  </si>
  <si>
    <t>Sign (1=+)</t>
  </si>
  <si>
    <t>Rank</t>
  </si>
  <si>
    <t>Sign</t>
  </si>
  <si>
    <t>ABS Diff</t>
  </si>
  <si>
    <t>W+</t>
  </si>
  <si>
    <t>W-</t>
  </si>
  <si>
    <t>W</t>
  </si>
  <si>
    <t>Data1</t>
  </si>
  <si>
    <t>Data2</t>
  </si>
  <si>
    <t>Paired Data Set</t>
  </si>
  <si>
    <t>Data Set</t>
  </si>
  <si>
    <t>Value</t>
  </si>
  <si>
    <t>n1</t>
  </si>
  <si>
    <t>n2</t>
  </si>
  <si>
    <t>R1</t>
  </si>
  <si>
    <t>R2</t>
  </si>
  <si>
    <t>u1</t>
  </si>
  <si>
    <t>u2</t>
  </si>
  <si>
    <t>Diff with Median</t>
  </si>
  <si>
    <t>Median</t>
  </si>
  <si>
    <t>Run</t>
  </si>
  <si>
    <t>Mean</t>
  </si>
  <si>
    <t>STD</t>
  </si>
  <si>
    <t>z value</t>
  </si>
  <si>
    <t>F0</t>
  </si>
  <si>
    <t>Fn</t>
  </si>
  <si>
    <t>Fn-1</t>
  </si>
  <si>
    <t>D+</t>
  </si>
  <si>
    <t>D-</t>
  </si>
  <si>
    <t>Max</t>
  </si>
  <si>
    <t>D</t>
  </si>
  <si>
    <t>Sl NO</t>
  </si>
  <si>
    <t>Sample ID</t>
  </si>
  <si>
    <t>S1</t>
  </si>
  <si>
    <t>S2</t>
  </si>
  <si>
    <t>ABS(S1-S2)</t>
  </si>
  <si>
    <t>Xi</t>
  </si>
  <si>
    <t>Yi</t>
  </si>
  <si>
    <t>Sl No</t>
  </si>
  <si>
    <t>Rx</t>
  </si>
  <si>
    <t>Ry</t>
  </si>
  <si>
    <t>Keep Data Set no . intact                                               Rank Overall</t>
  </si>
  <si>
    <t>RxRy</t>
  </si>
  <si>
    <t>Rx^2</t>
  </si>
  <si>
    <t>Ry^2</t>
  </si>
  <si>
    <t>(Rx-Ry)^2</t>
  </si>
  <si>
    <t>Sum</t>
  </si>
  <si>
    <t>k</t>
  </si>
  <si>
    <t>probability</t>
  </si>
  <si>
    <t>cum Prob</t>
  </si>
  <si>
    <t>n</t>
  </si>
  <si>
    <t>-</t>
  </si>
  <si>
    <t>CI</t>
  </si>
  <si>
    <t>Median : 63.2 Range : (56.5,63.7)   CI=92.32%</t>
  </si>
  <si>
    <t>Level</t>
  </si>
  <si>
    <t xml:space="preserve">S^2 </t>
  </si>
  <si>
    <t>N(N+1)^2/4</t>
  </si>
  <si>
    <t>N</t>
  </si>
  <si>
    <t>h</t>
  </si>
  <si>
    <t>Sl.No</t>
  </si>
  <si>
    <t>Xj</t>
  </si>
  <si>
    <t>Zj</t>
  </si>
  <si>
    <t>Uj</t>
  </si>
  <si>
    <t>ln Uj</t>
  </si>
  <si>
    <t>Zn+1-j</t>
  </si>
  <si>
    <t>Un+1-j</t>
  </si>
  <si>
    <t>ln (1- Un+1-j)</t>
  </si>
  <si>
    <t xml:space="preserve">sum of ln terms </t>
  </si>
  <si>
    <t>(2j-1)Sum</t>
  </si>
  <si>
    <t>SUM</t>
  </si>
  <si>
    <t>A2</t>
  </si>
  <si>
    <t>A*2</t>
  </si>
  <si>
    <t>Keep the level marking. Continuous Ranking. Chisq critical value</t>
  </si>
  <si>
    <t xml:space="preserve">Arrange in order of abs difference. Rank accordingly </t>
  </si>
  <si>
    <t>Do Not change order of collection for Run calculation. Keep the sl no tracking</t>
  </si>
  <si>
    <t>Ascending order arrangement</t>
  </si>
  <si>
    <t>Arrange in Ascending Order . Keep Sample ID Intact</t>
  </si>
  <si>
    <t>correlation Coeff</t>
  </si>
  <si>
    <t>n[(n+1)/2]^2</t>
  </si>
  <si>
    <t>Keep pair wise intact. Rank individual sets.</t>
  </si>
  <si>
    <t>Count</t>
  </si>
  <si>
    <t>Sum of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</si>
</sst>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87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8C268-CE09-49BB-BD6E-A2DE520937BA}" name="Table2" displayName="Table2" ref="A1:D11" totalsRowShown="0" headerRowDxfId="86" dataDxfId="85">
  <autoFilter ref="A1:D11" xr:uid="{998F4AA5-9474-40C0-A00F-D58016731759}"/>
  <tableColumns count="4">
    <tableColumn id="1" xr3:uid="{8447953B-558B-4EF0-BFCD-7EC7DF9B48BE}" name="Sl. No" dataDxfId="84"/>
    <tableColumn id="2" xr3:uid="{7FEE541A-19A9-43C8-93EC-44F6E45C2022}" name="Data" dataDxfId="83"/>
    <tableColumn id="3" xr3:uid="{EBD05193-8F25-4C9F-8842-944BBDBA2404}" name="Difference" dataDxfId="82">
      <calculatedColumnFormula>B2-$A$15</calculatedColumnFormula>
    </tableColumn>
    <tableColumn id="4" xr3:uid="{D8C8AB0D-50C6-413F-B0DB-F01CD2743222}" name="Sign (1=+)" dataDxfId="81">
      <calculatedColumnFormula>IF(C2&gt;0,1,0)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581A85-2083-492E-828C-ADB173F5A9CC}" name="Table10" displayName="Table10" ref="A1:C26" totalsRowShown="0" headerRowDxfId="16" dataDxfId="15">
  <autoFilter ref="A1:C26" xr:uid="{64BE86C5-3C93-423C-A6DA-D758EDF1019E}"/>
  <sortState xmlns:xlrd2="http://schemas.microsoft.com/office/spreadsheetml/2017/richdata2" ref="A2:C26">
    <sortCondition ref="B1:B26"/>
  </sortState>
  <tableColumns count="3">
    <tableColumn id="1" xr3:uid="{D7A1F72A-B587-4597-B3E9-E3FB02C302F2}" name="Level" dataDxfId="14"/>
    <tableColumn id="2" xr3:uid="{A6733FA5-0458-4E04-8902-3799A14067C1}" name="Data" dataDxfId="13"/>
    <tableColumn id="3" xr3:uid="{46484F9C-0E98-41E8-8FFF-06DDBB190B23}" name="Rank" dataDxfId="12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B80CAC-8938-4EA6-B13C-F6D03885D567}" name="Table11" displayName="Table11" ref="A1:J7" totalsRowShown="0" headerRowDxfId="11" dataDxfId="10">
  <autoFilter ref="A1:J7" xr:uid="{67059CBD-8337-46A8-A4DB-BC6BA99B753C}"/>
  <tableColumns count="10">
    <tableColumn id="1" xr3:uid="{7369B57C-1C7C-459B-A3B5-4BB19A670208}" name="Sl.No" dataDxfId="9"/>
    <tableColumn id="2" xr3:uid="{E8425D55-C811-4321-A8C6-F045F199B66E}" name="Xj" dataDxfId="8"/>
    <tableColumn id="3" xr3:uid="{E92AC267-FF3A-4263-8C83-D1827BF01D9C}" name="Zj" dataDxfId="7">
      <calculatedColumnFormula>(Table11[[#This Row],[Xj]]-$C$9)/$C$10</calculatedColumnFormula>
    </tableColumn>
    <tableColumn id="4" xr3:uid="{E9CA6E7C-6245-4301-977C-BACCE29BEFC5}" name="Uj" dataDxfId="6">
      <calculatedColumnFormula>_xlfn.NORM.DIST(Table11[[#This Row],[Zj]],0,1,TRUE)</calculatedColumnFormula>
    </tableColumn>
    <tableColumn id="5" xr3:uid="{0AD3D21D-869E-4C23-9F47-398FEF04911E}" name="ln Uj" dataDxfId="5">
      <calculatedColumnFormula>LN(Table11[[#This Row],[Uj]])</calculatedColumnFormula>
    </tableColumn>
    <tableColumn id="6" xr3:uid="{EE7761AB-E4E5-4603-BFE6-5D511482C627}" name="Zn+1-j" dataDxfId="4">
      <calculatedColumnFormula>C7</calculatedColumnFormula>
    </tableColumn>
    <tableColumn id="7" xr3:uid="{59A732BD-78E3-4463-988F-76987F86EF11}" name="Un+1-j" dataDxfId="3">
      <calculatedColumnFormula>_xlfn.NORM.DIST(Table11[[#This Row],[Zn+1-j]],0,1,TRUE)</calculatedColumnFormula>
    </tableColumn>
    <tableColumn id="8" xr3:uid="{99D5DBB4-41CF-480A-BD92-1FE922C49F10}" name="ln (1- Un+1-j)" dataDxfId="2">
      <calculatedColumnFormula>LN(1-Table11[[#This Row],[Un+1-j]])</calculatedColumnFormula>
    </tableColumn>
    <tableColumn id="9" xr3:uid="{BA7B25F0-A707-4064-812E-711D663FFE5C}" name="sum of ln terms " dataDxfId="1">
      <calculatedColumnFormula>Table11[[#This Row],[ln Uj]]+Table11[[#This Row],[ln (1- Un+1-j)]]</calculatedColumnFormula>
    </tableColumn>
    <tableColumn id="10" xr3:uid="{3C81F260-367F-4BC3-9A1E-9DC724F4A80F}" name="(2j-1)Sum" dataDxfId="0">
      <calculatedColumnFormula>Table11[[#This Row],[sum of ln terms ]]*(2*Table11[[#This Row],[Sl.No]]-1)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AB135-846E-4BEA-9455-C91D0A37088D}" name="Table1" displayName="Table1" ref="A1:F11" totalsRowShown="0" headerRowDxfId="80" dataDxfId="79">
  <autoFilter ref="A1:F11" xr:uid="{3A675512-DE6B-4D7C-9C90-274C190A4F18}"/>
  <sortState xmlns:xlrd2="http://schemas.microsoft.com/office/spreadsheetml/2017/richdata2" ref="A2:F11">
    <sortCondition ref="F1:F11"/>
  </sortState>
  <tableColumns count="6">
    <tableColumn id="1" xr3:uid="{1A27EAF3-E19F-4088-BB1E-279A1F5CDBBA}" name="Sl. No" dataDxfId="78"/>
    <tableColumn id="2" xr3:uid="{20AFC2F6-B2FC-4A29-837B-C2D37D86BE09}" name="Data" dataDxfId="77"/>
    <tableColumn id="3" xr3:uid="{D20BC4E1-4112-4399-A2E1-85363397E196}" name="Difference" dataDxfId="76">
      <calculatedColumnFormula>B2-$A$15</calculatedColumnFormula>
    </tableColumn>
    <tableColumn id="4" xr3:uid="{5C6A6C3A-0EAF-498C-9F80-E2C8D26634DD}" name="ABS Diff" dataDxfId="75">
      <calculatedColumnFormula>ABS(C2)</calculatedColumnFormula>
    </tableColumn>
    <tableColumn id="5" xr3:uid="{E67060F4-8BE1-4988-B553-82F2FC0C6E94}" name="Rank" dataDxfId="74"/>
    <tableColumn id="6" xr3:uid="{F16765A0-58B8-4397-BC12-0F56F6408EBB}" name="Sign" dataDxfId="73">
      <calculatedColumnFormula>IF(Table1[[#This Row],[Difference]]&gt;0,1,0)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E0C59-EEEE-4ADB-829E-2AC182F59C5A}" name="Table3" displayName="Table3" ref="J2:P16" totalsRowShown="0" headerRowDxfId="72" dataDxfId="71">
  <autoFilter ref="J2:P16" xr:uid="{72878436-973D-437F-B8A5-B3AF05F2FF6C}"/>
  <sortState xmlns:xlrd2="http://schemas.microsoft.com/office/spreadsheetml/2017/richdata2" ref="J3:P16">
    <sortCondition ref="N2:N16"/>
  </sortState>
  <tableColumns count="7">
    <tableColumn id="1" xr3:uid="{7610C585-0796-4CC4-80E9-2B5A7A59ED9D}" name="Sl. No" dataDxfId="70"/>
    <tableColumn id="2" xr3:uid="{069674D7-2201-4A9B-9063-4621440441BE}" name="Data1" dataDxfId="69"/>
    <tableColumn id="3" xr3:uid="{3E8AD5F2-E6EF-4258-8BB9-86E8CD1D35E9}" name="Data2" dataDxfId="68"/>
    <tableColumn id="4" xr3:uid="{CDD6A1F0-DE56-4189-BDA9-64EF68AC0B44}" name="Difference" dataDxfId="67">
      <calculatedColumnFormula>Table3[[#This Row],[Data1]]-Table3[[#This Row],[Data2]]</calculatedColumnFormula>
    </tableColumn>
    <tableColumn id="5" xr3:uid="{59561137-66D3-4BFB-886A-E502382BFCAA}" name="ABS Diff" dataDxfId="66">
      <calculatedColumnFormula>ABS(Table3[[#This Row],[Difference]])</calculatedColumnFormula>
    </tableColumn>
    <tableColumn id="6" xr3:uid="{1D44A217-D18E-40BA-AE6E-0AF0DDB6F275}" name="Rank" dataDxfId="65"/>
    <tableColumn id="7" xr3:uid="{71892154-24D6-4E7A-9301-D3CD2107878F}" name="Sign" dataDxfId="64">
      <calculatedColumnFormula>IF(Table3[[#This Row],[Difference]]&gt;0,1,0)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5D83D9-9848-41DE-AF63-682E35936341}" name="Table4" displayName="Table4" ref="A1:D17" totalsRowShown="0" headerRowDxfId="63" dataDxfId="62">
  <autoFilter ref="A1:D17" xr:uid="{16E4E96F-E560-4276-9EC5-14CFBF3AEB69}"/>
  <sortState xmlns:xlrd2="http://schemas.microsoft.com/office/spreadsheetml/2017/richdata2" ref="A2:D17">
    <sortCondition ref="B1:B17"/>
  </sortState>
  <tableColumns count="4">
    <tableColumn id="1" xr3:uid="{C9467751-0AF1-44B2-92A7-1E600B97FF6E}" name="Sl. No" dataDxfId="61"/>
    <tableColumn id="2" xr3:uid="{FF721BC0-30F9-40F2-9B61-295FDFC931CE}" name="Data Set" dataDxfId="60"/>
    <tableColumn id="3" xr3:uid="{B7793762-0408-442E-B9F1-04841B7869C5}" name="Value" dataDxfId="59"/>
    <tableColumn id="4" xr3:uid="{7CE9EC18-D7BB-495F-8639-67D39B9DCC59}" name="Rank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2B87F1-46C6-4964-B647-DA894CCD9D61}" name="Table5" displayName="Table5" ref="A1:D27" totalsRowShown="0" headerRowDxfId="57" dataDxfId="56">
  <autoFilter ref="A1:D27" xr:uid="{F6FB5CB1-53B9-4EFE-951F-93B43B12ED5E}"/>
  <sortState xmlns:xlrd2="http://schemas.microsoft.com/office/spreadsheetml/2017/richdata2" ref="A2:D27">
    <sortCondition ref="A1:A27"/>
  </sortState>
  <tableColumns count="4">
    <tableColumn id="1" xr3:uid="{75C617C6-1AF1-4A87-AA40-77AEAAEA4B9C}" name="Sl. No" dataDxfId="55"/>
    <tableColumn id="2" xr3:uid="{97577A18-6B6E-4BA7-B3C8-363FF278E175}" name="Data" dataDxfId="54"/>
    <tableColumn id="3" xr3:uid="{EB74D7AC-8A5A-4601-B380-766039892963}" name="Diff with Median" dataDxfId="53">
      <calculatedColumnFormula>Table5[[#This Row],[Data]]-$G$2</calculatedColumnFormula>
    </tableColumn>
    <tableColumn id="4" xr3:uid="{A0E2847F-940C-44D5-B98B-6CEAF81D86C2}" name="Sign" dataDxfId="52">
      <calculatedColumnFormula>IF(Table5[[#This Row],[Diff with Median]]&gt;0,1,0)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8BEC4-35B1-444B-AB38-E7A7B019CE1A}" name="Table6" displayName="Table6" ref="A1:H7" totalsRowShown="0" headerRowDxfId="51" dataDxfId="50">
  <autoFilter ref="A1:H7" xr:uid="{72F88696-DA44-47FD-AE65-46B7FB72D998}"/>
  <sortState xmlns:xlrd2="http://schemas.microsoft.com/office/spreadsheetml/2017/richdata2" ref="A2:G7">
    <sortCondition ref="B1:B7"/>
  </sortState>
  <tableColumns count="8">
    <tableColumn id="1" xr3:uid="{91546FC9-7616-48FD-B66E-35430A65782E}" name="Sl. No" dataDxfId="49"/>
    <tableColumn id="2" xr3:uid="{DB22B2EB-13EB-4DC6-B2F8-C051F9DE07B9}" name="Data" dataDxfId="48"/>
    <tableColumn id="3" xr3:uid="{E70FEE0B-8092-40CA-892A-2B72871554D7}" name="z value" dataDxfId="47">
      <calculatedColumnFormula>(Table6[[#This Row],[Data]]-$B$9)/$B$10</calculatedColumnFormula>
    </tableColumn>
    <tableColumn id="4" xr3:uid="{8BCD4C24-E6D6-45C4-B4F9-CCB218F63649}" name="F0" dataDxfId="46">
      <calculatedColumnFormula>_xlfn.NORM.DIST(Table6[[#This Row],[z value]],0,1,TRUE)</calculatedColumnFormula>
    </tableColumn>
    <tableColumn id="5" xr3:uid="{47D25D16-1B30-478F-9709-0BB73700F122}" name="Fn" dataDxfId="45">
      <calculatedColumnFormula>Table6[[#This Row],[Sl. No]]/6</calculatedColumnFormula>
    </tableColumn>
    <tableColumn id="6" xr3:uid="{8581DEEB-1B09-4BBE-9BA4-6621B9AAB19B}" name="Fn-1" dataDxfId="44"/>
    <tableColumn id="7" xr3:uid="{AFAA1622-1197-4294-8DEE-5B5D50C97905}" name="D+" dataDxfId="43">
      <calculatedColumnFormula>Table6[[#This Row],[Fn]]-Table6[[#This Row],[F0]]</calculatedColumnFormula>
    </tableColumn>
    <tableColumn id="8" xr3:uid="{ED825F49-2792-423F-B2E3-170471B0D56E}" name="D-" dataDxfId="42">
      <calculatedColumnFormula>Table6[[#This Row],[F0]]-Table6[[#This Row],[Fn-1]]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449DF4-1B34-446D-BCFB-724EFABBB03D}" name="Table7" displayName="Table7" ref="A1:F21" totalsRowShown="0" headerRowDxfId="41" dataDxfId="40">
  <autoFilter ref="A1:F21" xr:uid="{C2541C1D-30F6-4BCD-81BE-AE4C03A88994}"/>
  <sortState xmlns:xlrd2="http://schemas.microsoft.com/office/spreadsheetml/2017/richdata2" ref="A2:F21">
    <sortCondition ref="B1:B21"/>
  </sortState>
  <tableColumns count="6">
    <tableColumn id="1" xr3:uid="{C6192AA9-94E9-4E35-A551-B531ABB6A528}" name="Sl NO" dataDxfId="39"/>
    <tableColumn id="2" xr3:uid="{404A7F87-B0B2-4C2B-8FFE-8098EBF2B0D8}" name="Data" dataDxfId="38"/>
    <tableColumn id="3" xr3:uid="{ECE6D523-1020-40AB-96E2-D32805C4AB83}" name="Sample ID" dataDxfId="37"/>
    <tableColumn id="4" xr3:uid="{C8500D96-F888-413D-8312-B0D79B27F99A}" name="S1" dataDxfId="36"/>
    <tableColumn id="5" xr3:uid="{F17FBBB0-F384-44A6-85DD-D8898DBCD85A}" name="S2" dataDxfId="35"/>
    <tableColumn id="6" xr3:uid="{3AB25BB7-4F49-43DF-BC77-7450762D7AFC}" name="ABS(S1-S2)" dataDxfId="34">
      <calculatedColumnFormula>ABS(Table7[[#This Row],[S1]]-Table7[[#This Row],[S2]])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5518D2-94F3-4CFF-B8E0-FB4E32155913}" name="Table8" displayName="Table8" ref="A1:I13" totalsRowShown="0" headerRowDxfId="33" dataDxfId="32">
  <autoFilter ref="A1:I13" xr:uid="{910BDE02-9AC7-4C76-BF0F-BBE52AAEBC93}"/>
  <sortState xmlns:xlrd2="http://schemas.microsoft.com/office/spreadsheetml/2017/richdata2" ref="A2:I13">
    <sortCondition ref="C1:C13"/>
  </sortState>
  <tableColumns count="9">
    <tableColumn id="1" xr3:uid="{ABCAC483-0EE9-4818-9632-6D16345EAB84}" name="Sl No" dataDxfId="31"/>
    <tableColumn id="2" xr3:uid="{08539FC3-185C-4F5F-AB39-9B0252F856FF}" name="Xi" dataDxfId="30"/>
    <tableColumn id="3" xr3:uid="{BEAD15F3-D854-47DB-969E-FFDE848D9C0C}" name="Yi" dataDxfId="29"/>
    <tableColumn id="4" xr3:uid="{3EDAADB1-DCC4-491A-9F59-7E8BA2F3BD75}" name="Rx" dataDxfId="28"/>
    <tableColumn id="5" xr3:uid="{A4A6E6C8-FCBB-4222-82B8-013567B2AD01}" name="Ry" dataDxfId="27"/>
    <tableColumn id="6" xr3:uid="{018582C8-9DAB-4A9E-911D-783A1F740E15}" name="RxRy" dataDxfId="26">
      <calculatedColumnFormula>Table8[[#This Row],[Rx]]*Table8[[#This Row],[Ry]]</calculatedColumnFormula>
    </tableColumn>
    <tableColumn id="7" xr3:uid="{78A0989F-569E-417B-8EC0-0CC19988B298}" name="Rx^2" dataDxfId="25">
      <calculatedColumnFormula>Table8[[#This Row],[Rx]]^2</calculatedColumnFormula>
    </tableColumn>
    <tableColumn id="8" xr3:uid="{25ABA3E9-A909-47A0-9920-1A59F7BA6E76}" name="Ry^2" dataDxfId="24">
      <calculatedColumnFormula>Table8[[#This Row],[Ry]]^2</calculatedColumnFormula>
    </tableColumn>
    <tableColumn id="9" xr3:uid="{F3BA3CEA-74FD-41F3-AC71-103BD1A25CBB}" name="(Rx-Ry)^2" dataDxfId="23">
      <calculatedColumnFormula>(Table8[[#This Row],[Rx]]-Table8[[#This Row],[Ry]])^2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47A4FD-C664-44CE-BE99-623490D43F10}" name="Table9" displayName="Table9" ref="A1:D17" totalsRowShown="0" headerRowDxfId="22" dataDxfId="21">
  <autoFilter ref="A1:D17" xr:uid="{25CC3005-86A1-4F19-9215-C24EB8E5F4FC}"/>
  <tableColumns count="4">
    <tableColumn id="1" xr3:uid="{7D21F505-E4F2-46E1-B36B-9BCD74BD6F10}" name="k" dataDxfId="20"/>
    <tableColumn id="4" xr3:uid="{5F211BF9-1AC3-4EFA-9566-0626FAB7BFCF}" name="Data" dataDxfId="19"/>
    <tableColumn id="2" xr3:uid="{A419A55D-F50D-44CD-BF78-BA0D0CE7A235}" name="probability" dataDxfId="18">
      <calculatedColumnFormula>_xlfn.BINOM.DIST(Table9[[#This Row],[k]],$G$1,0.5,FALSE)</calculatedColumnFormula>
    </tableColumn>
    <tableColumn id="3" xr3:uid="{BE15FAC5-C33D-49EE-B49F-ADC77DBF0E71}" name="cum Prob" dataDxfId="17">
      <calculatedColumnFormula>_xlfn.BINOM.DIST(Table9[[#This Row],[k]],$G$1,0.5,TRUE)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217A-ADE2-40F6-86F9-96682CD501FE}">
  <dimension ref="A1:D15"/>
  <sheetViews>
    <sheetView workbookViewId="0">
      <selection activeCell="C20" sqref="C20"/>
    </sheetView>
  </sheetViews>
  <sheetFormatPr defaultRowHeight="15" x14ac:dyDescent="0.25"/>
  <cols>
    <col min="1" max="1" width="16.42578125" style="4" bestFit="1" customWidth="1"/>
    <col min="2" max="2" width="9.5703125" style="4" bestFit="1" customWidth="1"/>
    <col min="3" max="3" width="15" style="4" bestFit="1" customWidth="1"/>
    <col min="4" max="4" width="14.140625" style="4" bestFit="1" customWidth="1"/>
    <col min="5" max="16384" width="9.140625" style="4"/>
  </cols>
  <sheetData>
    <row r="1" spans="1:4" x14ac:dyDescent="0.25">
      <c r="A1" s="4" t="s">
        <v>4</v>
      </c>
      <c r="B1" s="4" t="s">
        <v>0</v>
      </c>
      <c r="C1" s="4" t="s">
        <v>6</v>
      </c>
      <c r="D1" s="4" t="s">
        <v>7</v>
      </c>
    </row>
    <row r="2" spans="1:4" x14ac:dyDescent="0.25">
      <c r="A2" s="4">
        <v>1</v>
      </c>
      <c r="B2" s="5">
        <v>7.91</v>
      </c>
      <c r="C2" s="4">
        <f t="shared" ref="C2:C11" si="0">B2-$A$15</f>
        <v>0.91000000000000014</v>
      </c>
      <c r="D2" s="4">
        <f>IF(C2&gt;0,1,0)</f>
        <v>1</v>
      </c>
    </row>
    <row r="3" spans="1:4" x14ac:dyDescent="0.25">
      <c r="A3" s="4">
        <v>2</v>
      </c>
      <c r="B3" s="5">
        <v>7.85</v>
      </c>
      <c r="C3" s="4">
        <f t="shared" si="0"/>
        <v>0.84999999999999964</v>
      </c>
      <c r="D3" s="4">
        <f t="shared" ref="D3:D11" si="1">IF(C3&gt;0,1,0)</f>
        <v>1</v>
      </c>
    </row>
    <row r="4" spans="1:4" x14ac:dyDescent="0.25">
      <c r="A4" s="4">
        <v>3</v>
      </c>
      <c r="B4" s="5">
        <v>6.82</v>
      </c>
      <c r="C4" s="4">
        <f t="shared" si="0"/>
        <v>-0.17999999999999972</v>
      </c>
      <c r="D4" s="4">
        <f t="shared" si="1"/>
        <v>0</v>
      </c>
    </row>
    <row r="5" spans="1:4" x14ac:dyDescent="0.25">
      <c r="A5" s="4">
        <v>4</v>
      </c>
      <c r="B5" s="5">
        <v>8.01</v>
      </c>
      <c r="C5" s="4">
        <f t="shared" si="0"/>
        <v>1.0099999999999998</v>
      </c>
      <c r="D5" s="4">
        <f t="shared" si="1"/>
        <v>1</v>
      </c>
    </row>
    <row r="6" spans="1:4" x14ac:dyDescent="0.25">
      <c r="A6" s="4">
        <v>5</v>
      </c>
      <c r="B6" s="5">
        <v>7.46</v>
      </c>
      <c r="C6" s="4">
        <f t="shared" si="0"/>
        <v>0.45999999999999996</v>
      </c>
      <c r="D6" s="4">
        <f t="shared" si="1"/>
        <v>1</v>
      </c>
    </row>
    <row r="7" spans="1:4" x14ac:dyDescent="0.25">
      <c r="A7" s="4">
        <v>6</v>
      </c>
      <c r="B7" s="5">
        <v>6.95</v>
      </c>
      <c r="C7" s="4">
        <f t="shared" si="0"/>
        <v>-4.9999999999999822E-2</v>
      </c>
      <c r="D7" s="4">
        <f t="shared" si="1"/>
        <v>0</v>
      </c>
    </row>
    <row r="8" spans="1:4" x14ac:dyDescent="0.25">
      <c r="A8" s="4">
        <v>7</v>
      </c>
      <c r="B8" s="5">
        <v>7.05</v>
      </c>
      <c r="C8" s="4">
        <f t="shared" si="0"/>
        <v>4.9999999999999822E-2</v>
      </c>
      <c r="D8" s="4">
        <f t="shared" si="1"/>
        <v>1</v>
      </c>
    </row>
    <row r="9" spans="1:4" x14ac:dyDescent="0.25">
      <c r="A9" s="4">
        <v>8</v>
      </c>
      <c r="B9" s="5">
        <v>7.35</v>
      </c>
      <c r="C9" s="4">
        <f t="shared" si="0"/>
        <v>0.34999999999999964</v>
      </c>
      <c r="D9" s="4">
        <f t="shared" si="1"/>
        <v>1</v>
      </c>
    </row>
    <row r="10" spans="1:4" x14ac:dyDescent="0.25">
      <c r="A10" s="4">
        <v>9</v>
      </c>
      <c r="B10" s="5">
        <v>7.25</v>
      </c>
      <c r="C10" s="4">
        <f t="shared" si="0"/>
        <v>0.25</v>
      </c>
      <c r="D10" s="4">
        <f t="shared" si="1"/>
        <v>1</v>
      </c>
    </row>
    <row r="11" spans="1:4" x14ac:dyDescent="0.25">
      <c r="A11" s="4">
        <v>10</v>
      </c>
      <c r="B11" s="5">
        <v>7.42</v>
      </c>
      <c r="C11" s="4">
        <f t="shared" si="0"/>
        <v>0.41999999999999993</v>
      </c>
      <c r="D11" s="4">
        <f t="shared" si="1"/>
        <v>1</v>
      </c>
    </row>
    <row r="14" spans="1:4" x14ac:dyDescent="0.25">
      <c r="A14" s="19" t="s">
        <v>1</v>
      </c>
      <c r="C14" s="19" t="s">
        <v>2</v>
      </c>
      <c r="D14" s="19">
        <f>SUM(D2:D11)</f>
        <v>8</v>
      </c>
    </row>
    <row r="15" spans="1:4" x14ac:dyDescent="0.25">
      <c r="A15" s="19">
        <v>7</v>
      </c>
      <c r="C15" s="19" t="s">
        <v>3</v>
      </c>
      <c r="D15" s="19">
        <f>A11-D14</f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5B6-0855-4B1A-B4EC-E4057EAE28D8}">
  <dimension ref="A1:J11"/>
  <sheetViews>
    <sheetView workbookViewId="0">
      <selection activeCell="H10" sqref="H10"/>
    </sheetView>
  </sheetViews>
  <sheetFormatPr defaultRowHeight="15" x14ac:dyDescent="0.25"/>
  <cols>
    <col min="1" max="1" width="10.28515625" style="2" bestFit="1" customWidth="1"/>
    <col min="2" max="4" width="10.28515625" style="2" customWidth="1"/>
    <col min="5" max="5" width="10.85546875" style="2" customWidth="1"/>
    <col min="6" max="7" width="15.140625" style="2" customWidth="1"/>
    <col min="8" max="8" width="20.7109375" style="2" customWidth="1"/>
    <col min="9" max="9" width="19.85546875" style="2" bestFit="1" customWidth="1"/>
    <col min="10" max="10" width="17.85546875" style="2" customWidth="1"/>
    <col min="11" max="16384" width="9.140625" style="2"/>
  </cols>
  <sheetData>
    <row r="1" spans="1:10" x14ac:dyDescent="0.2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</row>
    <row r="2" spans="1:10" x14ac:dyDescent="0.25">
      <c r="A2" s="2">
        <v>1</v>
      </c>
      <c r="B2" s="2">
        <v>294.2</v>
      </c>
      <c r="C2" s="21">
        <f>(Table11[[#This Row],[Xj]]-$C$9)/$C$10</f>
        <v>-1.4555649344072346</v>
      </c>
      <c r="D2" s="21">
        <f>_xlfn.NORM.DIST(Table11[[#This Row],[Zj]],0,1,TRUE)</f>
        <v>7.2756463747669614E-2</v>
      </c>
      <c r="E2" s="21">
        <f>LN(Table11[[#This Row],[Uj]])</f>
        <v>-2.6206375281121348</v>
      </c>
      <c r="F2" s="21">
        <f>C7</f>
        <v>1.5408563260918517</v>
      </c>
      <c r="G2" s="21">
        <f>_xlfn.NORM.DIST(Table11[[#This Row],[Zn+1-j]],0,1,TRUE)</f>
        <v>0.9383241214041308</v>
      </c>
      <c r="H2" s="21">
        <f>LN(1-Table11[[#This Row],[Un+1-j]])</f>
        <v>-2.78586237109268</v>
      </c>
      <c r="I2" s="21">
        <f>Table11[[#This Row],[ln Uj]]+Table11[[#This Row],[ln (1- Un+1-j)]]</f>
        <v>-5.4064998992048148</v>
      </c>
      <c r="J2" s="21">
        <f>Table11[[#This Row],[sum of ln terms ]]*(2*Table11[[#This Row],[Sl.No]]-1)</f>
        <v>-5.4064998992048148</v>
      </c>
    </row>
    <row r="3" spans="1:10" x14ac:dyDescent="0.25">
      <c r="A3" s="2">
        <v>2</v>
      </c>
      <c r="B3" s="2">
        <v>308.5</v>
      </c>
      <c r="C3" s="21">
        <f>(Table11[[#This Row],[Xj]]-$C$9)/$C$10</f>
        <v>-0.49267001249404424</v>
      </c>
      <c r="D3" s="21">
        <f>_xlfn.NORM.DIST(Table11[[#This Row],[Zj]],0,1,TRUE)</f>
        <v>0.31112288478710981</v>
      </c>
      <c r="E3" s="21">
        <f>LN(Table11[[#This Row],[Uj]])</f>
        <v>-1.1675673169125584</v>
      </c>
      <c r="F3" s="21">
        <f>C6</f>
        <v>0.4634913784966746</v>
      </c>
      <c r="G3" s="21">
        <f>_xlfn.NORM.DIST(Table11[[#This Row],[Zn+1-j]],0,1,TRUE)</f>
        <v>0.67849390339237192</v>
      </c>
      <c r="H3" s="21">
        <f>LN(1-Table11[[#This Row],[Un+1-j]])</f>
        <v>-1.134738772474529</v>
      </c>
      <c r="I3" s="21">
        <f>Table11[[#This Row],[ln Uj]]+Table11[[#This Row],[ln (1- Un+1-j)]]</f>
        <v>-2.3023060893870877</v>
      </c>
      <c r="J3" s="21">
        <f>Table11[[#This Row],[sum of ln terms ]]*(2*Table11[[#This Row],[Sl.No]]-1)</f>
        <v>-6.9069182681612631</v>
      </c>
    </row>
    <row r="4" spans="1:10" x14ac:dyDescent="0.25">
      <c r="A4" s="2">
        <v>3</v>
      </c>
      <c r="B4" s="2">
        <v>313.10000000000002</v>
      </c>
      <c r="C4" s="21">
        <f>(Table11[[#This Row],[Xj]]-$C$9)/$C$10</f>
        <v>-0.18292759006042933</v>
      </c>
      <c r="D4" s="21">
        <f>_xlfn.NORM.DIST(Table11[[#This Row],[Zj]],0,1,TRUE)</f>
        <v>0.42742741720564453</v>
      </c>
      <c r="E4" s="21">
        <f>LN(Table11[[#This Row],[Uj]])</f>
        <v>-0.84997078933459225</v>
      </c>
      <c r="F4" s="21">
        <f>C5</f>
        <v>0.12681483237318178</v>
      </c>
      <c r="G4" s="21">
        <f>_xlfn.NORM.DIST(Table11[[#This Row],[Zn+1-j]],0,1,TRUE)</f>
        <v>0.55045652200719286</v>
      </c>
      <c r="H4" s="21">
        <f>LN(1-Table11[[#This Row],[Un+1-j]])</f>
        <v>-0.79952270451376972</v>
      </c>
      <c r="I4" s="21">
        <f>Table11[[#This Row],[ln Uj]]+Table11[[#This Row],[ln (1- Un+1-j)]]</f>
        <v>-1.6494934938483619</v>
      </c>
      <c r="J4" s="21">
        <f>Table11[[#This Row],[sum of ln terms ]]*(2*Table11[[#This Row],[Sl.No]]-1)</f>
        <v>-8.2474674692418084</v>
      </c>
    </row>
    <row r="5" spans="1:10" x14ac:dyDescent="0.25">
      <c r="A5" s="2">
        <v>4</v>
      </c>
      <c r="B5" s="2">
        <v>317.7</v>
      </c>
      <c r="C5" s="21">
        <f>(Table11[[#This Row],[Xj]]-$C$9)/$C$10</f>
        <v>0.12681483237318178</v>
      </c>
      <c r="D5" s="21">
        <f>_xlfn.NORM.DIST(Table11[[#This Row],[Zj]],0,1,TRUE)</f>
        <v>0.55045652200719286</v>
      </c>
      <c r="E5" s="21">
        <f>LN(Table11[[#This Row],[Uj]])</f>
        <v>-0.59700730503524957</v>
      </c>
      <c r="F5" s="21">
        <f>C4</f>
        <v>-0.18292759006042933</v>
      </c>
      <c r="G5" s="21">
        <f>_xlfn.NORM.DIST(Table11[[#This Row],[Zn+1-j]],0,1,TRUE)</f>
        <v>0.42742741720564453</v>
      </c>
      <c r="H5" s="21">
        <f>LN(1-Table11[[#This Row],[Un+1-j]])</f>
        <v>-0.55761576941637614</v>
      </c>
      <c r="I5" s="21">
        <f>Table11[[#This Row],[ln Uj]]+Table11[[#This Row],[ln (1- Un+1-j)]]</f>
        <v>-1.1546230744516257</v>
      </c>
      <c r="J5" s="21">
        <f>Table11[[#This Row],[sum of ln terms ]]*(2*Table11[[#This Row],[Sl.No]]-1)</f>
        <v>-8.0823615211613795</v>
      </c>
    </row>
    <row r="6" spans="1:10" x14ac:dyDescent="0.25">
      <c r="A6" s="2">
        <v>5</v>
      </c>
      <c r="B6" s="2">
        <v>322.7</v>
      </c>
      <c r="C6" s="21">
        <f>(Table11[[#This Row],[Xj]]-$C$9)/$C$10</f>
        <v>0.4634913784966746</v>
      </c>
      <c r="D6" s="21">
        <f>_xlfn.NORM.DIST(Table11[[#This Row],[Zj]],0,1,TRUE)</f>
        <v>0.67849390339237192</v>
      </c>
      <c r="E6" s="21">
        <f>LN(Table11[[#This Row],[Uj]])</f>
        <v>-0.38787978516781535</v>
      </c>
      <c r="F6" s="21">
        <f>C3</f>
        <v>-0.49267001249404424</v>
      </c>
      <c r="G6" s="21">
        <f>_xlfn.NORM.DIST(Table11[[#This Row],[Zn+1-j]],0,1,TRUE)</f>
        <v>0.31112288478710981</v>
      </c>
      <c r="H6" s="21">
        <f>LN(1-Table11[[#This Row],[Un+1-j]])</f>
        <v>-0.37269237625122137</v>
      </c>
      <c r="I6" s="21">
        <f>Table11[[#This Row],[ln Uj]]+Table11[[#This Row],[ln (1- Un+1-j)]]</f>
        <v>-0.76057216141903672</v>
      </c>
      <c r="J6" s="21">
        <f>Table11[[#This Row],[sum of ln terms ]]*(2*Table11[[#This Row],[Sl.No]]-1)</f>
        <v>-6.8451494527713308</v>
      </c>
    </row>
    <row r="7" spans="1:10" x14ac:dyDescent="0.25">
      <c r="A7" s="2">
        <v>6</v>
      </c>
      <c r="B7" s="2">
        <v>338.7</v>
      </c>
      <c r="C7" s="21">
        <f>(Table11[[#This Row],[Xj]]-$C$9)/$C$10</f>
        <v>1.5408563260918517</v>
      </c>
      <c r="D7" s="21">
        <f>_xlfn.NORM.DIST(Table11[[#This Row],[Zj]],0,1,TRUE)</f>
        <v>0.9383241214041308</v>
      </c>
      <c r="E7" s="21">
        <f>LN(Table11[[#This Row],[Uj]])</f>
        <v>-6.3659844455945636E-2</v>
      </c>
      <c r="F7" s="21">
        <f>C2</f>
        <v>-1.4555649344072346</v>
      </c>
      <c r="G7" s="21">
        <f>_xlfn.NORM.DIST(Table11[[#This Row],[Zn+1-j]],0,1,TRUE)</f>
        <v>7.2756463747669614E-2</v>
      </c>
      <c r="H7" s="21">
        <f>LN(1-Table11[[#This Row],[Un+1-j]])</f>
        <v>-7.5539033515859624E-2</v>
      </c>
      <c r="I7" s="21">
        <f>Table11[[#This Row],[ln Uj]]+Table11[[#This Row],[ln (1- Un+1-j)]]</f>
        <v>-0.13919887797180525</v>
      </c>
      <c r="J7" s="21">
        <f>Table11[[#This Row],[sum of ln terms ]]*(2*Table11[[#This Row],[Sl.No]]-1)</f>
        <v>-1.5311876576898578</v>
      </c>
    </row>
    <row r="9" spans="1:10" ht="15.75" x14ac:dyDescent="0.25">
      <c r="B9" s="31" t="s">
        <v>28</v>
      </c>
      <c r="C9" s="20">
        <f>AVERAGE(Table11[Xj])</f>
        <v>315.81666666666666</v>
      </c>
      <c r="I9" s="29" t="s">
        <v>76</v>
      </c>
      <c r="J9" s="24">
        <f>SUM(Table11[(2j-1)Sum])</f>
        <v>-37.019584268230453</v>
      </c>
    </row>
    <row r="10" spans="1:10" ht="15.75" x14ac:dyDescent="0.25">
      <c r="B10" s="31" t="s">
        <v>29</v>
      </c>
      <c r="C10" s="20">
        <f>_xlfn.STDEV.S(Table11[Xj])</f>
        <v>14.851049345641089</v>
      </c>
      <c r="I10" s="29" t="s">
        <v>77</v>
      </c>
      <c r="J10" s="20">
        <f xml:space="preserve"> -C11-J9/C11</f>
        <v>0.16993071137174187</v>
      </c>
    </row>
    <row r="11" spans="1:10" ht="15.75" x14ac:dyDescent="0.25">
      <c r="B11" s="31" t="s">
        <v>64</v>
      </c>
      <c r="C11" s="20">
        <v>6</v>
      </c>
      <c r="I11" s="29" t="s">
        <v>78</v>
      </c>
      <c r="J11" s="20">
        <f>J10*(1+(0.75/C11)+(2.25/(C11*C11)))</f>
        <v>0.20179271975394347</v>
      </c>
    </row>
  </sheetData>
  <pageMargins left="0.7" right="0.7" top="0.75" bottom="0.75" header="0.3" footer="0.3"/>
  <ignoredErrors>
    <ignoredError sqref="F3:F7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1AB6-2320-4518-8C5B-669B274F9471}">
  <dimension ref="A1:P21"/>
  <sheetViews>
    <sheetView workbookViewId="0">
      <selection activeCell="P19" sqref="P19"/>
    </sheetView>
  </sheetViews>
  <sheetFormatPr defaultRowHeight="15" x14ac:dyDescent="0.25"/>
  <cols>
    <col min="1" max="1" width="14.7109375" style="2" bestFit="1" customWidth="1"/>
    <col min="2" max="2" width="9.5703125" style="2" bestFit="1" customWidth="1"/>
    <col min="3" max="3" width="15" style="2" bestFit="1" customWidth="1"/>
    <col min="4" max="4" width="12.7109375" style="2" bestFit="1" customWidth="1"/>
    <col min="5" max="5" width="9.85546875" style="2" bestFit="1" customWidth="1"/>
    <col min="6" max="6" width="9.28515625" style="2" bestFit="1" customWidth="1"/>
    <col min="7" max="9" width="9.140625" style="2"/>
    <col min="10" max="10" width="10.7109375" style="2" bestFit="1" customWidth="1"/>
    <col min="11" max="12" width="10.5703125" style="2" bestFit="1" customWidth="1"/>
    <col min="13" max="13" width="15" style="2" bestFit="1" customWidth="1"/>
    <col min="14" max="14" width="12.7109375" style="2" bestFit="1" customWidth="1"/>
    <col min="15" max="15" width="9.85546875" style="2" bestFit="1" customWidth="1"/>
    <col min="16" max="16" width="9.28515625" style="2" bestFit="1" customWidth="1"/>
    <col min="17" max="16384" width="9.140625" style="2"/>
  </cols>
  <sheetData>
    <row r="1" spans="1:16" ht="15.75" x14ac:dyDescent="0.25">
      <c r="A1" s="4" t="s">
        <v>4</v>
      </c>
      <c r="B1" s="4" t="s">
        <v>0</v>
      </c>
      <c r="C1" s="4" t="s">
        <v>6</v>
      </c>
      <c r="D1" s="4" t="s">
        <v>10</v>
      </c>
      <c r="E1" s="4" t="s">
        <v>8</v>
      </c>
      <c r="F1" s="4" t="s">
        <v>9</v>
      </c>
      <c r="J1" s="32" t="s">
        <v>16</v>
      </c>
      <c r="K1" s="32"/>
      <c r="L1" s="32"/>
      <c r="M1" s="32"/>
      <c r="N1" s="32"/>
      <c r="O1" s="32"/>
      <c r="P1" s="32"/>
    </row>
    <row r="2" spans="1:16" x14ac:dyDescent="0.25">
      <c r="A2" s="4">
        <v>1</v>
      </c>
      <c r="B2" s="5">
        <v>6.95</v>
      </c>
      <c r="C2" s="4">
        <f t="shared" ref="C2:C11" si="0">B2-$A$15</f>
        <v>-4.9999999999999822E-2</v>
      </c>
      <c r="D2" s="4">
        <f t="shared" ref="D2:D11" si="1">ABS(C2)</f>
        <v>4.9999999999999822E-2</v>
      </c>
      <c r="E2" s="2">
        <v>1.5</v>
      </c>
      <c r="F2" s="2">
        <f>IF(Table1[[#This Row],[Difference]]&gt;0,1,0)</f>
        <v>0</v>
      </c>
      <c r="J2" s="6" t="s">
        <v>4</v>
      </c>
      <c r="K2" s="7" t="s">
        <v>14</v>
      </c>
      <c r="L2" s="8" t="s">
        <v>15</v>
      </c>
      <c r="M2" s="7" t="s">
        <v>6</v>
      </c>
      <c r="N2" s="7" t="s">
        <v>10</v>
      </c>
      <c r="O2" s="7" t="s">
        <v>8</v>
      </c>
      <c r="P2" s="9" t="s">
        <v>9</v>
      </c>
    </row>
    <row r="3" spans="1:16" x14ac:dyDescent="0.25">
      <c r="A3" s="4">
        <v>3</v>
      </c>
      <c r="B3" s="5">
        <v>6.82</v>
      </c>
      <c r="C3" s="4">
        <f t="shared" si="0"/>
        <v>-0.17999999999999972</v>
      </c>
      <c r="D3" s="4">
        <f t="shared" si="1"/>
        <v>0.17999999999999972</v>
      </c>
      <c r="E3" s="2">
        <v>3</v>
      </c>
      <c r="F3" s="2">
        <f>IF(Table1[[#This Row],[Difference]]&gt;0,1,0)</f>
        <v>0</v>
      </c>
      <c r="J3" s="4">
        <v>14</v>
      </c>
      <c r="K3" s="5">
        <v>225</v>
      </c>
      <c r="L3" s="5">
        <v>226</v>
      </c>
      <c r="M3" s="4">
        <f>Table3[[#This Row],[Data1]]-Table3[[#This Row],[Data2]]</f>
        <v>-1</v>
      </c>
      <c r="N3" s="4">
        <f>ABS(Table3[[#This Row],[Difference]])</f>
        <v>1</v>
      </c>
      <c r="O3" s="4">
        <v>1</v>
      </c>
      <c r="P3" s="4">
        <f>IF(Table3[[#This Row],[Difference]]&gt;0,1,0)</f>
        <v>0</v>
      </c>
    </row>
    <row r="4" spans="1:16" x14ac:dyDescent="0.25">
      <c r="A4" s="4">
        <v>2</v>
      </c>
      <c r="B4" s="5">
        <v>7.05</v>
      </c>
      <c r="C4" s="4">
        <f t="shared" si="0"/>
        <v>4.9999999999999822E-2</v>
      </c>
      <c r="D4" s="4">
        <f t="shared" si="1"/>
        <v>4.9999999999999822E-2</v>
      </c>
      <c r="E4" s="2">
        <v>1.5</v>
      </c>
      <c r="F4" s="2">
        <f>IF(Table1[[#This Row],[Difference]]&gt;0,1,0)</f>
        <v>1</v>
      </c>
      <c r="J4" s="4">
        <v>6</v>
      </c>
      <c r="K4" s="5">
        <v>245</v>
      </c>
      <c r="L4" s="5">
        <v>241</v>
      </c>
      <c r="M4" s="4">
        <f>Table3[[#This Row],[Data1]]-Table3[[#This Row],[Data2]]</f>
        <v>4</v>
      </c>
      <c r="N4" s="4">
        <f>ABS(Table3[[#This Row],[Difference]])</f>
        <v>4</v>
      </c>
      <c r="O4" s="4">
        <v>2</v>
      </c>
      <c r="P4" s="4">
        <f>IF(Table3[[#This Row],[Difference]]&gt;0,1,0)</f>
        <v>1</v>
      </c>
    </row>
    <row r="5" spans="1:16" x14ac:dyDescent="0.25">
      <c r="A5" s="4">
        <v>4</v>
      </c>
      <c r="B5" s="5">
        <v>7.25</v>
      </c>
      <c r="C5" s="4">
        <f t="shared" si="0"/>
        <v>0.25</v>
      </c>
      <c r="D5" s="4">
        <f t="shared" si="1"/>
        <v>0.25</v>
      </c>
      <c r="E5" s="2">
        <v>4</v>
      </c>
      <c r="F5" s="2">
        <f>IF(Table1[[#This Row],[Difference]]&gt;0,1,0)</f>
        <v>1</v>
      </c>
      <c r="J5" s="4">
        <v>2</v>
      </c>
      <c r="K5" s="5">
        <v>240</v>
      </c>
      <c r="L5" s="5">
        <v>231</v>
      </c>
      <c r="M5" s="4">
        <f>Table3[[#This Row],[Data1]]-Table3[[#This Row],[Data2]]</f>
        <v>9</v>
      </c>
      <c r="N5" s="4">
        <f>ABS(Table3[[#This Row],[Difference]])</f>
        <v>9</v>
      </c>
      <c r="O5" s="4">
        <v>3</v>
      </c>
      <c r="P5" s="4">
        <f>IF(Table3[[#This Row],[Difference]]&gt;0,1,0)</f>
        <v>1</v>
      </c>
    </row>
    <row r="6" spans="1:16" x14ac:dyDescent="0.25">
      <c r="A6" s="4">
        <v>5</v>
      </c>
      <c r="B6" s="5">
        <v>7.35</v>
      </c>
      <c r="C6" s="4">
        <f t="shared" si="0"/>
        <v>0.34999999999999964</v>
      </c>
      <c r="D6" s="4">
        <f t="shared" si="1"/>
        <v>0.34999999999999964</v>
      </c>
      <c r="E6" s="2">
        <v>5</v>
      </c>
      <c r="F6" s="2">
        <f>IF(Table1[[#This Row],[Difference]]&gt;0,1,0)</f>
        <v>1</v>
      </c>
      <c r="J6" s="4">
        <v>5</v>
      </c>
      <c r="K6" s="5">
        <v>251</v>
      </c>
      <c r="L6" s="5">
        <v>238</v>
      </c>
      <c r="M6" s="4">
        <f>Table3[[#This Row],[Data1]]-Table3[[#This Row],[Data2]]</f>
        <v>13</v>
      </c>
      <c r="N6" s="4">
        <f>ABS(Table3[[#This Row],[Difference]])</f>
        <v>13</v>
      </c>
      <c r="O6" s="4">
        <v>4</v>
      </c>
      <c r="P6" s="4">
        <f>IF(Table3[[#This Row],[Difference]]&gt;0,1,0)</f>
        <v>1</v>
      </c>
    </row>
    <row r="7" spans="1:16" x14ac:dyDescent="0.25">
      <c r="A7" s="4">
        <v>6</v>
      </c>
      <c r="B7" s="5">
        <v>7.42</v>
      </c>
      <c r="C7" s="4">
        <f t="shared" si="0"/>
        <v>0.41999999999999993</v>
      </c>
      <c r="D7" s="4">
        <f t="shared" si="1"/>
        <v>0.41999999999999993</v>
      </c>
      <c r="E7" s="2">
        <v>6</v>
      </c>
      <c r="F7" s="2">
        <f>IF(Table1[[#This Row],[Difference]]&gt;0,1,0)</f>
        <v>1</v>
      </c>
      <c r="J7" s="4">
        <v>9</v>
      </c>
      <c r="K7" s="5">
        <v>260</v>
      </c>
      <c r="L7" s="5">
        <v>247</v>
      </c>
      <c r="M7" s="4">
        <f>Table3[[#This Row],[Data1]]-Table3[[#This Row],[Data2]]</f>
        <v>13</v>
      </c>
      <c r="N7" s="4">
        <f>ABS(Table3[[#This Row],[Difference]])</f>
        <v>13</v>
      </c>
      <c r="O7" s="4">
        <v>5</v>
      </c>
      <c r="P7" s="4">
        <f>IF(Table3[[#This Row],[Difference]]&gt;0,1,0)</f>
        <v>1</v>
      </c>
    </row>
    <row r="8" spans="1:16" x14ac:dyDescent="0.25">
      <c r="A8" s="4">
        <v>7</v>
      </c>
      <c r="B8" s="5">
        <v>7.46</v>
      </c>
      <c r="C8" s="4">
        <f t="shared" si="0"/>
        <v>0.45999999999999996</v>
      </c>
      <c r="D8" s="4">
        <f t="shared" si="1"/>
        <v>0.45999999999999996</v>
      </c>
      <c r="E8" s="2">
        <v>7</v>
      </c>
      <c r="F8" s="2">
        <f>IF(Table1[[#This Row],[Difference]]&gt;0,1,0)</f>
        <v>1</v>
      </c>
      <c r="J8" s="4">
        <v>13</v>
      </c>
      <c r="K8" s="5">
        <v>238</v>
      </c>
      <c r="L8" s="5">
        <v>219</v>
      </c>
      <c r="M8" s="4">
        <f>Table3[[#This Row],[Data1]]-Table3[[#This Row],[Data2]]</f>
        <v>19</v>
      </c>
      <c r="N8" s="4">
        <f>ABS(Table3[[#This Row],[Difference]])</f>
        <v>19</v>
      </c>
      <c r="O8" s="4">
        <v>6</v>
      </c>
      <c r="P8" s="4">
        <f>IF(Table3[[#This Row],[Difference]]&gt;0,1,0)</f>
        <v>1</v>
      </c>
    </row>
    <row r="9" spans="1:16" x14ac:dyDescent="0.25">
      <c r="A9" s="4">
        <v>8</v>
      </c>
      <c r="B9" s="5">
        <v>7.85</v>
      </c>
      <c r="C9" s="4">
        <f t="shared" si="0"/>
        <v>0.84999999999999964</v>
      </c>
      <c r="D9" s="4">
        <f t="shared" si="1"/>
        <v>0.84999999999999964</v>
      </c>
      <c r="E9" s="2">
        <v>8</v>
      </c>
      <c r="F9" s="2">
        <f>IF(Table1[[#This Row],[Difference]]&gt;0,1,0)</f>
        <v>1</v>
      </c>
      <c r="J9" s="4">
        <v>12</v>
      </c>
      <c r="K9" s="5">
        <v>240</v>
      </c>
      <c r="L9" s="5">
        <v>218</v>
      </c>
      <c r="M9" s="4">
        <f>Table3[[#This Row],[Data1]]-Table3[[#This Row],[Data2]]</f>
        <v>22</v>
      </c>
      <c r="N9" s="4">
        <f>ABS(Table3[[#This Row],[Difference]])</f>
        <v>22</v>
      </c>
      <c r="O9" s="4">
        <v>7</v>
      </c>
      <c r="P9" s="4">
        <f>IF(Table3[[#This Row],[Difference]]&gt;0,1,0)</f>
        <v>1</v>
      </c>
    </row>
    <row r="10" spans="1:16" x14ac:dyDescent="0.25">
      <c r="A10" s="4">
        <v>9</v>
      </c>
      <c r="B10" s="5">
        <v>7.91</v>
      </c>
      <c r="C10" s="4">
        <f t="shared" si="0"/>
        <v>0.91000000000000014</v>
      </c>
      <c r="D10" s="4">
        <f t="shared" si="1"/>
        <v>0.91000000000000014</v>
      </c>
      <c r="E10" s="2">
        <v>9</v>
      </c>
      <c r="F10" s="2">
        <f>IF(Table1[[#This Row],[Difference]]&gt;0,1,0)</f>
        <v>1</v>
      </c>
      <c r="J10" s="4">
        <v>3</v>
      </c>
      <c r="K10" s="5">
        <v>258</v>
      </c>
      <c r="L10" s="5">
        <v>227</v>
      </c>
      <c r="M10" s="4">
        <f>Table3[[#This Row],[Data1]]-Table3[[#This Row],[Data2]]</f>
        <v>31</v>
      </c>
      <c r="N10" s="4">
        <f>ABS(Table3[[#This Row],[Difference]])</f>
        <v>31</v>
      </c>
      <c r="O10" s="4">
        <v>8</v>
      </c>
      <c r="P10" s="4">
        <f>IF(Table3[[#This Row],[Difference]]&gt;0,1,0)</f>
        <v>1</v>
      </c>
    </row>
    <row r="11" spans="1:16" x14ac:dyDescent="0.25">
      <c r="A11" s="4">
        <v>10</v>
      </c>
      <c r="B11" s="5">
        <v>8.01</v>
      </c>
      <c r="C11" s="4">
        <f t="shared" si="0"/>
        <v>1.0099999999999998</v>
      </c>
      <c r="D11" s="4">
        <f t="shared" si="1"/>
        <v>1.0099999999999998</v>
      </c>
      <c r="E11" s="2">
        <v>10</v>
      </c>
      <c r="F11" s="2">
        <f>IF(Table1[[#This Row],[Difference]]&gt;0,1,0)</f>
        <v>1</v>
      </c>
      <c r="J11" s="4">
        <v>1</v>
      </c>
      <c r="K11" s="5">
        <v>265</v>
      </c>
      <c r="L11" s="5">
        <v>229</v>
      </c>
      <c r="M11" s="4">
        <f>Table3[[#This Row],[Data1]]-Table3[[#This Row],[Data2]]</f>
        <v>36</v>
      </c>
      <c r="N11" s="4">
        <f>ABS(Table3[[#This Row],[Difference]])</f>
        <v>36</v>
      </c>
      <c r="O11" s="4">
        <v>9</v>
      </c>
      <c r="P11" s="4">
        <f>IF(Table3[[#This Row],[Difference]]&gt;0,1,0)</f>
        <v>1</v>
      </c>
    </row>
    <row r="12" spans="1:16" x14ac:dyDescent="0.25">
      <c r="J12" s="4">
        <v>11</v>
      </c>
      <c r="K12" s="5">
        <v>283</v>
      </c>
      <c r="L12" s="5">
        <v>246</v>
      </c>
      <c r="M12" s="4">
        <f>Table3[[#This Row],[Data1]]-Table3[[#This Row],[Data2]]</f>
        <v>37</v>
      </c>
      <c r="N12" s="4">
        <f>ABS(Table3[[#This Row],[Difference]])</f>
        <v>37</v>
      </c>
      <c r="O12" s="4">
        <v>10</v>
      </c>
      <c r="P12" s="4">
        <f>IF(Table3[[#This Row],[Difference]]&gt;0,1,0)</f>
        <v>1</v>
      </c>
    </row>
    <row r="13" spans="1:16" x14ac:dyDescent="0.25">
      <c r="E13" s="20" t="s">
        <v>11</v>
      </c>
      <c r="F13" s="20">
        <f>SUM(E4:E11)</f>
        <v>50.5</v>
      </c>
      <c r="J13" s="4">
        <v>10</v>
      </c>
      <c r="K13" s="5">
        <v>279</v>
      </c>
      <c r="L13" s="5">
        <v>239</v>
      </c>
      <c r="M13" s="4">
        <f>Table3[[#This Row],[Data1]]-Table3[[#This Row],[Data2]]</f>
        <v>40</v>
      </c>
      <c r="N13" s="4">
        <f>ABS(Table3[[#This Row],[Difference]])</f>
        <v>40</v>
      </c>
      <c r="O13" s="4">
        <v>11</v>
      </c>
      <c r="P13" s="4">
        <f>IF(Table3[[#This Row],[Difference]]&gt;0,1,0)</f>
        <v>1</v>
      </c>
    </row>
    <row r="14" spans="1:16" x14ac:dyDescent="0.25">
      <c r="A14" s="19" t="s">
        <v>5</v>
      </c>
      <c r="E14" s="20" t="s">
        <v>12</v>
      </c>
      <c r="F14" s="20">
        <f>SUM(E2:E3)</f>
        <v>4.5</v>
      </c>
      <c r="J14" s="4">
        <v>7</v>
      </c>
      <c r="K14" s="5">
        <v>287</v>
      </c>
      <c r="L14" s="5">
        <v>234</v>
      </c>
      <c r="M14" s="4">
        <f>Table3[[#This Row],[Data1]]-Table3[[#This Row],[Data2]]</f>
        <v>53</v>
      </c>
      <c r="N14" s="4">
        <f>ABS(Table3[[#This Row],[Difference]])</f>
        <v>53</v>
      </c>
      <c r="O14" s="4">
        <v>12</v>
      </c>
      <c r="P14" s="4">
        <f>IF(Table3[[#This Row],[Difference]]&gt;0,1,0)</f>
        <v>1</v>
      </c>
    </row>
    <row r="15" spans="1:16" x14ac:dyDescent="0.25">
      <c r="A15" s="19">
        <v>7</v>
      </c>
      <c r="E15" s="20" t="s">
        <v>13</v>
      </c>
      <c r="F15" s="20">
        <f>MIN(F13:F14)</f>
        <v>4.5</v>
      </c>
      <c r="J15" s="4">
        <v>4</v>
      </c>
      <c r="K15" s="5">
        <v>295</v>
      </c>
      <c r="L15" s="5">
        <v>240</v>
      </c>
      <c r="M15" s="4">
        <f>Table3[[#This Row],[Data1]]-Table3[[#This Row],[Data2]]</f>
        <v>55</v>
      </c>
      <c r="N15" s="4">
        <f>ABS(Table3[[#This Row],[Difference]])</f>
        <v>55</v>
      </c>
      <c r="O15" s="4">
        <v>13</v>
      </c>
      <c r="P15" s="4">
        <f>IF(Table3[[#This Row],[Difference]]&gt;0,1,0)</f>
        <v>1</v>
      </c>
    </row>
    <row r="16" spans="1:16" x14ac:dyDescent="0.25">
      <c r="J16" s="4">
        <v>8</v>
      </c>
      <c r="K16" s="5">
        <v>314</v>
      </c>
      <c r="L16" s="5">
        <v>256</v>
      </c>
      <c r="M16" s="4">
        <f>Table3[[#This Row],[Data1]]-Table3[[#This Row],[Data2]]</f>
        <v>58</v>
      </c>
      <c r="N16" s="4">
        <f>ABS(Table3[[#This Row],[Difference]])</f>
        <v>58</v>
      </c>
      <c r="O16" s="4">
        <v>14</v>
      </c>
      <c r="P16" s="4">
        <f>IF(Table3[[#This Row],[Difference]]&gt;0,1,0)</f>
        <v>1</v>
      </c>
    </row>
    <row r="17" spans="6:14" x14ac:dyDescent="0.25">
      <c r="F17" s="33" t="s">
        <v>80</v>
      </c>
      <c r="G17" s="33"/>
      <c r="H17" s="33"/>
    </row>
    <row r="18" spans="6:14" x14ac:dyDescent="0.25">
      <c r="F18" s="33"/>
      <c r="G18" s="33"/>
      <c r="H18" s="33"/>
      <c r="M18" s="20" t="s">
        <v>11</v>
      </c>
      <c r="N18" s="20">
        <f>SUM(O4:O16)</f>
        <v>104</v>
      </c>
    </row>
    <row r="19" spans="6:14" x14ac:dyDescent="0.25">
      <c r="F19" s="33"/>
      <c r="G19" s="33"/>
      <c r="H19" s="33"/>
      <c r="M19" s="20" t="s">
        <v>12</v>
      </c>
      <c r="N19" s="20">
        <f>SUM(O3)</f>
        <v>1</v>
      </c>
    </row>
    <row r="20" spans="6:14" x14ac:dyDescent="0.25">
      <c r="F20" s="33"/>
      <c r="G20" s="33"/>
      <c r="H20" s="33"/>
      <c r="M20" s="20" t="s">
        <v>13</v>
      </c>
      <c r="N20" s="20">
        <f>MIN(N18:N19)</f>
        <v>1</v>
      </c>
    </row>
    <row r="21" spans="6:14" x14ac:dyDescent="0.25">
      <c r="F21" s="33"/>
      <c r="G21" s="33"/>
      <c r="H21" s="33"/>
    </row>
  </sheetData>
  <sortState xmlns:xlrd2="http://schemas.microsoft.com/office/spreadsheetml/2017/richdata2" ref="A2:E11">
    <sortCondition ref="E2:E11"/>
  </sortState>
  <mergeCells count="2">
    <mergeCell ref="J1:P1"/>
    <mergeCell ref="F17:H21"/>
  </mergeCells>
  <pageMargins left="0.7" right="0.7" top="0.75" bottom="0.75" header="0.3" footer="0.3"/>
  <ignoredErrors>
    <ignoredError sqref="F13:F14 N18" formulaRange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CC3C-E486-444F-9CF9-00AA1D1DB0B8}">
  <dimension ref="A1:O31"/>
  <sheetViews>
    <sheetView tabSelected="1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0.7109375" bestFit="1" customWidth="1"/>
    <col min="4" max="4" width="9.85546875" bestFit="1" customWidth="1"/>
  </cols>
  <sheetData>
    <row r="1" spans="1:15" x14ac:dyDescent="0.25">
      <c r="A1" s="4" t="s">
        <v>4</v>
      </c>
      <c r="B1" s="4" t="s">
        <v>17</v>
      </c>
      <c r="C1" s="4" t="s">
        <v>18</v>
      </c>
      <c r="D1" s="4" t="s">
        <v>8</v>
      </c>
    </row>
    <row r="2" spans="1:15" x14ac:dyDescent="0.25">
      <c r="A2" s="4">
        <v>4</v>
      </c>
      <c r="B2" s="5">
        <v>1</v>
      </c>
      <c r="C2" s="5">
        <v>19.8</v>
      </c>
      <c r="D2" s="4">
        <v>2</v>
      </c>
      <c r="G2" s="19" t="s">
        <v>19</v>
      </c>
      <c r="H2" s="19">
        <v>8</v>
      </c>
    </row>
    <row r="3" spans="1:15" x14ac:dyDescent="0.25">
      <c r="A3" s="4">
        <v>8</v>
      </c>
      <c r="B3" s="40">
        <v>1</v>
      </c>
      <c r="C3" s="40">
        <v>21.5</v>
      </c>
      <c r="D3" s="4">
        <v>5</v>
      </c>
      <c r="G3" s="19" t="s">
        <v>20</v>
      </c>
      <c r="H3" s="19">
        <v>8</v>
      </c>
    </row>
    <row r="4" spans="1:15" x14ac:dyDescent="0.25">
      <c r="A4" s="4">
        <v>7</v>
      </c>
      <c r="B4" s="5">
        <v>1</v>
      </c>
      <c r="C4" s="5">
        <v>22.2</v>
      </c>
      <c r="D4" s="4">
        <v>6</v>
      </c>
      <c r="G4" s="19" t="s">
        <v>21</v>
      </c>
      <c r="H4" s="19">
        <v>288.5</v>
      </c>
    </row>
    <row r="5" spans="1:15" x14ac:dyDescent="0.25">
      <c r="A5" s="4">
        <v>1</v>
      </c>
      <c r="B5" s="5">
        <v>1</v>
      </c>
      <c r="C5" s="5">
        <v>24.2</v>
      </c>
      <c r="D5" s="4">
        <v>8</v>
      </c>
      <c r="G5" s="19" t="s">
        <v>22</v>
      </c>
      <c r="H5" s="19">
        <v>176.5</v>
      </c>
      <c r="L5" s="34" t="s">
        <v>48</v>
      </c>
      <c r="M5" s="34"/>
      <c r="N5" s="34"/>
      <c r="O5" s="34"/>
    </row>
    <row r="6" spans="1:15" x14ac:dyDescent="0.25">
      <c r="A6" s="4">
        <v>6</v>
      </c>
      <c r="B6" s="5">
        <v>1</v>
      </c>
      <c r="C6" s="5">
        <v>24.9</v>
      </c>
      <c r="D6" s="4">
        <v>9</v>
      </c>
      <c r="G6" s="19" t="s">
        <v>23</v>
      </c>
      <c r="H6" s="19">
        <f>H4-H2*(H2+1)/2</f>
        <v>252.5</v>
      </c>
      <c r="L6" s="34"/>
      <c r="M6" s="34"/>
      <c r="N6" s="34"/>
      <c r="O6" s="34"/>
    </row>
    <row r="7" spans="1:15" x14ac:dyDescent="0.25">
      <c r="A7" s="4">
        <v>5</v>
      </c>
      <c r="B7" s="5">
        <v>1</v>
      </c>
      <c r="C7" s="5">
        <v>25.4</v>
      </c>
      <c r="D7" s="4">
        <v>10.5</v>
      </c>
      <c r="G7" s="19" t="s">
        <v>24</v>
      </c>
      <c r="H7" s="19">
        <f>H5-H3*(H3+1)/2</f>
        <v>140.5</v>
      </c>
      <c r="L7" s="34"/>
      <c r="M7" s="34"/>
      <c r="N7" s="34"/>
      <c r="O7" s="34"/>
    </row>
    <row r="8" spans="1:15" x14ac:dyDescent="0.25">
      <c r="A8" s="4">
        <v>2</v>
      </c>
      <c r="B8" s="5">
        <v>1</v>
      </c>
      <c r="C8" s="5">
        <v>30.4</v>
      </c>
      <c r="D8" s="4">
        <v>14</v>
      </c>
      <c r="L8" s="34"/>
      <c r="M8" s="34"/>
      <c r="N8" s="34"/>
      <c r="O8" s="34"/>
    </row>
    <row r="9" spans="1:15" x14ac:dyDescent="0.25">
      <c r="A9" s="4">
        <v>3</v>
      </c>
      <c r="B9" s="5">
        <v>1</v>
      </c>
      <c r="C9" s="5">
        <v>32.700000000000003</v>
      </c>
      <c r="D9" s="4">
        <v>16</v>
      </c>
      <c r="L9" s="34"/>
      <c r="M9" s="34"/>
      <c r="N9" s="34"/>
      <c r="O9" s="34"/>
    </row>
    <row r="10" spans="1:15" x14ac:dyDescent="0.25">
      <c r="A10" s="4">
        <v>12</v>
      </c>
      <c r="B10" s="5">
        <v>2</v>
      </c>
      <c r="C10" s="5">
        <v>17.600000000000001</v>
      </c>
      <c r="D10" s="4">
        <v>1</v>
      </c>
      <c r="L10" s="34"/>
      <c r="M10" s="34"/>
      <c r="N10" s="34"/>
      <c r="O10" s="34"/>
    </row>
    <row r="11" spans="1:15" x14ac:dyDescent="0.25">
      <c r="A11" s="4">
        <v>15</v>
      </c>
      <c r="B11" s="5">
        <v>2</v>
      </c>
      <c r="C11" s="5">
        <v>20.6</v>
      </c>
      <c r="D11" s="4">
        <v>3</v>
      </c>
    </row>
    <row r="12" spans="1:15" x14ac:dyDescent="0.25">
      <c r="A12" s="4">
        <v>16</v>
      </c>
      <c r="B12" s="5">
        <v>2</v>
      </c>
      <c r="C12" s="5">
        <v>20.7</v>
      </c>
      <c r="D12" s="4">
        <v>4</v>
      </c>
    </row>
    <row r="13" spans="1:15" x14ac:dyDescent="0.25">
      <c r="A13" s="4">
        <v>9</v>
      </c>
      <c r="B13" s="5">
        <v>2</v>
      </c>
      <c r="C13" s="5">
        <v>23.5</v>
      </c>
      <c r="D13" s="4">
        <v>7</v>
      </c>
    </row>
    <row r="14" spans="1:15" x14ac:dyDescent="0.25">
      <c r="A14" s="4">
        <v>14</v>
      </c>
      <c r="B14" s="5">
        <v>2</v>
      </c>
      <c r="C14" s="5">
        <v>25.4</v>
      </c>
      <c r="D14" s="4">
        <v>10.5</v>
      </c>
    </row>
    <row r="15" spans="1:15" x14ac:dyDescent="0.25">
      <c r="A15" s="4">
        <v>13</v>
      </c>
      <c r="B15" s="5">
        <v>2</v>
      </c>
      <c r="C15" s="5">
        <v>25.9</v>
      </c>
      <c r="D15" s="4">
        <v>12</v>
      </c>
    </row>
    <row r="16" spans="1:15" x14ac:dyDescent="0.25">
      <c r="A16" s="4">
        <v>10</v>
      </c>
      <c r="B16" s="5">
        <v>2</v>
      </c>
      <c r="C16" s="5">
        <v>29.6</v>
      </c>
      <c r="D16" s="4">
        <v>13</v>
      </c>
    </row>
    <row r="17" spans="1:4" x14ac:dyDescent="0.25">
      <c r="A17" s="4">
        <v>11</v>
      </c>
      <c r="B17" s="5">
        <v>2</v>
      </c>
      <c r="C17" s="5">
        <v>32.299999999999997</v>
      </c>
      <c r="D17" s="4">
        <v>15</v>
      </c>
    </row>
    <row r="18" spans="1:4" x14ac:dyDescent="0.25">
      <c r="A18" s="4"/>
      <c r="B18" s="5"/>
      <c r="C18" s="5"/>
      <c r="D18" s="4"/>
    </row>
    <row r="19" spans="1:4" x14ac:dyDescent="0.25">
      <c r="A19" s="4"/>
      <c r="B19" s="5"/>
      <c r="C19" s="5"/>
      <c r="D19" s="4"/>
    </row>
    <row r="20" spans="1:4" x14ac:dyDescent="0.25">
      <c r="A20" s="4"/>
      <c r="B20" s="5"/>
      <c r="C20" s="5"/>
      <c r="D20" s="4"/>
    </row>
    <row r="21" spans="1:4" x14ac:dyDescent="0.25">
      <c r="A21" s="4"/>
      <c r="B21" s="5"/>
      <c r="C21" s="5"/>
      <c r="D21" s="4"/>
    </row>
    <row r="22" spans="1:4" x14ac:dyDescent="0.25">
      <c r="A22" s="4"/>
      <c r="B22" s="5"/>
      <c r="C22" s="5"/>
      <c r="D22" s="4"/>
    </row>
    <row r="23" spans="1:4" x14ac:dyDescent="0.25">
      <c r="A23" s="4"/>
      <c r="B23" s="5"/>
      <c r="C23" s="5"/>
      <c r="D23" s="4"/>
    </row>
    <row r="24" spans="1:4" x14ac:dyDescent="0.25">
      <c r="A24" s="4"/>
      <c r="B24" s="5"/>
      <c r="C24" s="5"/>
      <c r="D24" s="4"/>
    </row>
    <row r="25" spans="1:4" x14ac:dyDescent="0.25">
      <c r="A25" s="4"/>
      <c r="B25" s="5"/>
      <c r="C25" s="5"/>
      <c r="D25" s="4"/>
    </row>
    <row r="26" spans="1:4" x14ac:dyDescent="0.25">
      <c r="A26" s="4"/>
      <c r="B26" s="5"/>
      <c r="C26" s="5"/>
      <c r="D26" s="4"/>
    </row>
    <row r="27" spans="1:4" x14ac:dyDescent="0.25">
      <c r="A27" s="4"/>
      <c r="B27" s="5"/>
      <c r="C27" s="5"/>
      <c r="D27" s="4"/>
    </row>
    <row r="28" spans="1:4" x14ac:dyDescent="0.25">
      <c r="A28" s="4"/>
      <c r="B28" s="5"/>
      <c r="C28" s="5"/>
      <c r="D28" s="4"/>
    </row>
    <row r="29" spans="1:4" x14ac:dyDescent="0.25">
      <c r="A29" s="4"/>
      <c r="B29" s="5"/>
      <c r="C29" s="5"/>
      <c r="D29" s="4"/>
    </row>
    <row r="30" spans="1:4" x14ac:dyDescent="0.25">
      <c r="A30" s="4"/>
      <c r="B30" s="5"/>
      <c r="C30" s="5"/>
      <c r="D30" s="4"/>
    </row>
    <row r="31" spans="1:4" x14ac:dyDescent="0.25">
      <c r="A31" s="4"/>
      <c r="B31" s="5"/>
      <c r="C31" s="5"/>
      <c r="D31" s="4"/>
    </row>
  </sheetData>
  <mergeCells count="1">
    <mergeCell ref="L5:O10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090C-9807-4B88-B2AE-1DD1B4B298BC}">
  <dimension ref="A1:V35"/>
  <sheetViews>
    <sheetView workbookViewId="0">
      <selection activeCell="H13" sqref="H13"/>
    </sheetView>
  </sheetViews>
  <sheetFormatPr defaultRowHeight="15" x14ac:dyDescent="0.25"/>
  <cols>
    <col min="1" max="1" width="10.7109375" style="2" bestFit="1" customWidth="1"/>
    <col min="2" max="2" width="9.5703125" style="2" bestFit="1" customWidth="1"/>
    <col min="3" max="3" width="20.7109375" style="2" bestFit="1" customWidth="1"/>
    <col min="4" max="4" width="9.28515625" style="2" bestFit="1" customWidth="1"/>
    <col min="5" max="16384" width="9.140625" style="2"/>
  </cols>
  <sheetData>
    <row r="1" spans="1:22" x14ac:dyDescent="0.25">
      <c r="A1" s="2" t="s">
        <v>4</v>
      </c>
      <c r="B1" s="2" t="s">
        <v>0</v>
      </c>
      <c r="C1" s="2" t="s">
        <v>25</v>
      </c>
      <c r="D1" s="2" t="s">
        <v>9</v>
      </c>
    </row>
    <row r="2" spans="1:22" x14ac:dyDescent="0.25">
      <c r="A2" s="2">
        <v>1</v>
      </c>
      <c r="B2" s="3">
        <v>81.02</v>
      </c>
      <c r="C2" s="2">
        <f>Table5[[#This Row],[Data]]-$G$2</f>
        <v>0.89999999999999147</v>
      </c>
      <c r="D2" s="2">
        <f>IF(Table5[[#This Row],[Diff with Median]]&gt;0,1,0)</f>
        <v>1</v>
      </c>
      <c r="F2" s="20" t="s">
        <v>26</v>
      </c>
      <c r="G2" s="20">
        <v>80.12</v>
      </c>
    </row>
    <row r="3" spans="1:22" x14ac:dyDescent="0.25">
      <c r="A3" s="2">
        <v>2</v>
      </c>
      <c r="B3" s="3">
        <v>80.08</v>
      </c>
      <c r="C3" s="2">
        <f>Table5[[#This Row],[Data]]-$G$2</f>
        <v>-4.0000000000006253E-2</v>
      </c>
      <c r="D3" s="2">
        <f>IF(Table5[[#This Row],[Diff with Median]]&gt;0,1,0)</f>
        <v>0</v>
      </c>
      <c r="F3" s="20" t="s">
        <v>19</v>
      </c>
      <c r="G3" s="20">
        <v>13</v>
      </c>
    </row>
    <row r="4" spans="1:22" x14ac:dyDescent="0.25">
      <c r="A4" s="2">
        <v>3</v>
      </c>
      <c r="B4" s="3">
        <v>80.05</v>
      </c>
      <c r="C4" s="2">
        <f>Table5[[#This Row],[Data]]-$G$2</f>
        <v>-7.000000000000739E-2</v>
      </c>
      <c r="D4" s="2">
        <f>IF(Table5[[#This Row],[Diff with Median]]&gt;0,1,0)</f>
        <v>0</v>
      </c>
      <c r="F4" s="20" t="s">
        <v>20</v>
      </c>
      <c r="G4" s="20">
        <v>13</v>
      </c>
    </row>
    <row r="5" spans="1:22" x14ac:dyDescent="0.25">
      <c r="A5" s="2">
        <v>4</v>
      </c>
      <c r="B5" s="3">
        <v>79.7</v>
      </c>
      <c r="C5" s="2">
        <f>Table5[[#This Row],[Data]]-$G$2</f>
        <v>-0.42000000000000171</v>
      </c>
      <c r="D5" s="2">
        <f>IF(Table5[[#This Row],[Diff with Median]]&gt;0,1,0)</f>
        <v>0</v>
      </c>
      <c r="F5" s="20" t="s">
        <v>27</v>
      </c>
      <c r="G5" s="20">
        <v>6</v>
      </c>
    </row>
    <row r="6" spans="1:22" x14ac:dyDescent="0.25">
      <c r="A6" s="2">
        <v>5</v>
      </c>
      <c r="B6" s="3">
        <v>79.13</v>
      </c>
      <c r="C6" s="2">
        <f>Table5[[#This Row],[Data]]-$G$2</f>
        <v>-0.99000000000000909</v>
      </c>
      <c r="D6" s="2">
        <f>IF(Table5[[#This Row],[Diff with Median]]&gt;0,1,0)</f>
        <v>0</v>
      </c>
    </row>
    <row r="7" spans="1:22" x14ac:dyDescent="0.25">
      <c r="A7" s="2">
        <v>6</v>
      </c>
      <c r="B7" s="3">
        <v>77.09</v>
      </c>
      <c r="C7" s="2">
        <f>Table5[[#This Row],[Data]]-$G$2</f>
        <v>-3.0300000000000011</v>
      </c>
      <c r="D7" s="2">
        <f>IF(Table5[[#This Row],[Diff with Median]]&gt;0,1,0)</f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>
        <v>7</v>
      </c>
      <c r="B8" s="3">
        <v>80.09</v>
      </c>
      <c r="C8" s="2">
        <f>Table5[[#This Row],[Data]]-$G$2</f>
        <v>-3.0000000000001137E-2</v>
      </c>
      <c r="D8" s="2">
        <f>IF(Table5[[#This Row],[Diff with Median]]&gt;0,1,0)</f>
        <v>0</v>
      </c>
      <c r="J8" s="33" t="s">
        <v>81</v>
      </c>
      <c r="K8" s="33"/>
      <c r="L8" s="33"/>
      <c r="M8" s="33"/>
      <c r="N8" s="33"/>
      <c r="O8" s="1"/>
      <c r="P8" s="1"/>
      <c r="Q8" s="1"/>
      <c r="R8" s="1"/>
      <c r="S8" s="1"/>
      <c r="T8" s="1"/>
      <c r="U8" s="1"/>
      <c r="V8" s="1"/>
    </row>
    <row r="9" spans="1:22" x14ac:dyDescent="0.25">
      <c r="A9" s="2">
        <v>8</v>
      </c>
      <c r="B9" s="3">
        <v>79.400000000000006</v>
      </c>
      <c r="C9" s="2">
        <f>Table5[[#This Row],[Data]]-$G$2</f>
        <v>-0.71999999999999886</v>
      </c>
      <c r="D9" s="2">
        <f>IF(Table5[[#This Row],[Diff with Median]]&gt;0,1,0)</f>
        <v>0</v>
      </c>
      <c r="J9" s="33"/>
      <c r="K9" s="33"/>
      <c r="L9" s="33"/>
      <c r="M9" s="33"/>
      <c r="N9" s="33"/>
    </row>
    <row r="10" spans="1:22" x14ac:dyDescent="0.25">
      <c r="A10" s="2">
        <v>9</v>
      </c>
      <c r="B10" s="3">
        <v>80.56</v>
      </c>
      <c r="C10" s="2">
        <f>Table5[[#This Row],[Data]]-$G$2</f>
        <v>0.43999999999999773</v>
      </c>
      <c r="D10" s="2">
        <f>IF(Table5[[#This Row],[Diff with Median]]&gt;0,1,0)</f>
        <v>1</v>
      </c>
      <c r="J10" s="33"/>
      <c r="K10" s="33"/>
      <c r="L10" s="33"/>
      <c r="M10" s="33"/>
      <c r="N10" s="33"/>
    </row>
    <row r="11" spans="1:22" x14ac:dyDescent="0.25">
      <c r="A11" s="2">
        <v>10</v>
      </c>
      <c r="B11" s="3">
        <v>80.97</v>
      </c>
      <c r="C11" s="2">
        <f>Table5[[#This Row],[Data]]-$G$2</f>
        <v>0.84999999999999432</v>
      </c>
      <c r="D11" s="2">
        <f>IF(Table5[[#This Row],[Diff with Median]]&gt;0,1,0)</f>
        <v>1</v>
      </c>
      <c r="J11" s="33"/>
      <c r="K11" s="33"/>
      <c r="L11" s="33"/>
      <c r="M11" s="33"/>
      <c r="N11" s="33"/>
    </row>
    <row r="12" spans="1:22" x14ac:dyDescent="0.25">
      <c r="A12" s="2">
        <v>11</v>
      </c>
      <c r="B12" s="3">
        <v>80.17</v>
      </c>
      <c r="C12" s="2">
        <f>Table5[[#This Row],[Data]]-$G$2</f>
        <v>4.9999999999997158E-2</v>
      </c>
      <c r="D12" s="2">
        <f>IF(Table5[[#This Row],[Diff with Median]]&gt;0,1,0)</f>
        <v>1</v>
      </c>
      <c r="J12" s="33"/>
      <c r="K12" s="33"/>
      <c r="L12" s="33"/>
      <c r="M12" s="33"/>
      <c r="N12" s="33"/>
    </row>
    <row r="13" spans="1:22" x14ac:dyDescent="0.25">
      <c r="A13" s="2">
        <v>12</v>
      </c>
      <c r="B13" s="3">
        <v>81.349999999999994</v>
      </c>
      <c r="C13" s="2">
        <f>Table5[[#This Row],[Data]]-$G$2</f>
        <v>1.2299999999999898</v>
      </c>
      <c r="D13" s="2">
        <f>IF(Table5[[#This Row],[Diff with Median]]&gt;0,1,0)</f>
        <v>1</v>
      </c>
      <c r="J13" s="33"/>
      <c r="K13" s="33"/>
      <c r="L13" s="33"/>
      <c r="M13" s="33"/>
      <c r="N13" s="33"/>
    </row>
    <row r="14" spans="1:22" x14ac:dyDescent="0.25">
      <c r="A14" s="2">
        <v>13</v>
      </c>
      <c r="B14" s="3">
        <v>79.64</v>
      </c>
      <c r="C14" s="2">
        <f>Table5[[#This Row],[Data]]-$G$2</f>
        <v>-0.48000000000000398</v>
      </c>
      <c r="D14" s="2">
        <f>IF(Table5[[#This Row],[Diff with Median]]&gt;0,1,0)</f>
        <v>0</v>
      </c>
      <c r="J14" s="33"/>
      <c r="K14" s="33"/>
      <c r="L14" s="33"/>
      <c r="M14" s="33"/>
      <c r="N14" s="33"/>
    </row>
    <row r="15" spans="1:22" x14ac:dyDescent="0.25">
      <c r="A15" s="2">
        <v>14</v>
      </c>
      <c r="B15" s="3">
        <v>80.819999999999993</v>
      </c>
      <c r="C15" s="2">
        <f>Table5[[#This Row],[Data]]-$G$2</f>
        <v>0.69999999999998863</v>
      </c>
      <c r="D15" s="2">
        <f>IF(Table5[[#This Row],[Diff with Median]]&gt;0,1,0)</f>
        <v>1</v>
      </c>
      <c r="J15" s="1"/>
    </row>
    <row r="16" spans="1:22" x14ac:dyDescent="0.25">
      <c r="A16" s="2">
        <v>15</v>
      </c>
      <c r="B16" s="3">
        <v>81.260000000000005</v>
      </c>
      <c r="C16" s="2">
        <f>Table5[[#This Row],[Data]]-$G$2</f>
        <v>1.1400000000000006</v>
      </c>
      <c r="D16" s="2">
        <f>IF(Table5[[#This Row],[Diff with Median]]&gt;0,1,0)</f>
        <v>1</v>
      </c>
      <c r="J16" s="1"/>
    </row>
    <row r="17" spans="1:10" x14ac:dyDescent="0.25">
      <c r="A17" s="2">
        <v>16</v>
      </c>
      <c r="B17" s="3">
        <v>80.75</v>
      </c>
      <c r="C17" s="2">
        <f>Table5[[#This Row],[Data]]-$G$2</f>
        <v>0.62999999999999545</v>
      </c>
      <c r="D17" s="2">
        <f>IF(Table5[[#This Row],[Diff with Median]]&gt;0,1,0)</f>
        <v>1</v>
      </c>
      <c r="J17" s="1"/>
    </row>
    <row r="18" spans="1:10" x14ac:dyDescent="0.25">
      <c r="A18" s="2">
        <v>17</v>
      </c>
      <c r="B18" s="3">
        <v>80.739999999999995</v>
      </c>
      <c r="C18" s="2">
        <f>Table5[[#This Row],[Data]]-$G$2</f>
        <v>0.61999999999999034</v>
      </c>
      <c r="D18" s="2">
        <f>IF(Table5[[#This Row],[Diff with Median]]&gt;0,1,0)</f>
        <v>1</v>
      </c>
      <c r="J18" s="1"/>
    </row>
    <row r="19" spans="1:10" x14ac:dyDescent="0.25">
      <c r="A19" s="2">
        <v>18</v>
      </c>
      <c r="B19" s="3">
        <v>81.59</v>
      </c>
      <c r="C19" s="2">
        <f>Table5[[#This Row],[Data]]-$G$2</f>
        <v>1.4699999999999989</v>
      </c>
      <c r="D19" s="2">
        <f>IF(Table5[[#This Row],[Diff with Median]]&gt;0,1,0)</f>
        <v>1</v>
      </c>
      <c r="J19" s="1"/>
    </row>
    <row r="20" spans="1:10" x14ac:dyDescent="0.25">
      <c r="A20" s="2">
        <v>19</v>
      </c>
      <c r="B20" s="3">
        <v>80.14</v>
      </c>
      <c r="C20" s="2">
        <f>Table5[[#This Row],[Data]]-$G$2</f>
        <v>1.9999999999996021E-2</v>
      </c>
      <c r="D20" s="2">
        <f>IF(Table5[[#This Row],[Diff with Median]]&gt;0,1,0)</f>
        <v>1</v>
      </c>
      <c r="J20" s="1"/>
    </row>
    <row r="21" spans="1:10" x14ac:dyDescent="0.25">
      <c r="A21" s="2">
        <v>20</v>
      </c>
      <c r="B21" s="3">
        <v>80.75</v>
      </c>
      <c r="C21" s="2">
        <f>Table5[[#This Row],[Data]]-$G$2</f>
        <v>0.62999999999999545</v>
      </c>
      <c r="D21" s="2">
        <f>IF(Table5[[#This Row],[Diff with Median]]&gt;0,1,0)</f>
        <v>1</v>
      </c>
      <c r="J21" s="1"/>
    </row>
    <row r="22" spans="1:10" x14ac:dyDescent="0.25">
      <c r="A22" s="2">
        <v>21</v>
      </c>
      <c r="B22" s="3">
        <v>81.010000000000005</v>
      </c>
      <c r="C22" s="2">
        <f>Table5[[#This Row],[Data]]-$G$2</f>
        <v>0.89000000000000057</v>
      </c>
      <c r="D22" s="2">
        <f>IF(Table5[[#This Row],[Diff with Median]]&gt;0,1,0)</f>
        <v>1</v>
      </c>
      <c r="J22" s="1"/>
    </row>
    <row r="23" spans="1:10" x14ac:dyDescent="0.25">
      <c r="A23" s="2">
        <v>22</v>
      </c>
      <c r="B23" s="3">
        <v>79.09</v>
      </c>
      <c r="C23" s="2">
        <f>Table5[[#This Row],[Data]]-$G$2</f>
        <v>-1.0300000000000011</v>
      </c>
      <c r="D23" s="2">
        <f>IF(Table5[[#This Row],[Diff with Median]]&gt;0,1,0)</f>
        <v>0</v>
      </c>
      <c r="J23" s="1"/>
    </row>
    <row r="24" spans="1:10" x14ac:dyDescent="0.25">
      <c r="A24" s="2">
        <v>23</v>
      </c>
      <c r="B24" s="3">
        <v>78.73</v>
      </c>
      <c r="C24" s="2">
        <f>Table5[[#This Row],[Data]]-$G$2</f>
        <v>-1.3900000000000006</v>
      </c>
      <c r="D24" s="2">
        <f>IF(Table5[[#This Row],[Diff with Median]]&gt;0,1,0)</f>
        <v>0</v>
      </c>
      <c r="J24" s="1"/>
    </row>
    <row r="25" spans="1:10" x14ac:dyDescent="0.25">
      <c r="A25" s="2">
        <v>24</v>
      </c>
      <c r="B25" s="3">
        <v>78.45</v>
      </c>
      <c r="C25" s="2">
        <f>Table5[[#This Row],[Data]]-$G$2</f>
        <v>-1.6700000000000017</v>
      </c>
      <c r="D25" s="2">
        <f>IF(Table5[[#This Row],[Diff with Median]]&gt;0,1,0)</f>
        <v>0</v>
      </c>
      <c r="J25" s="1"/>
    </row>
    <row r="26" spans="1:10" x14ac:dyDescent="0.25">
      <c r="A26" s="2">
        <v>25</v>
      </c>
      <c r="B26" s="3">
        <v>79.56</v>
      </c>
      <c r="C26" s="2">
        <f>Table5[[#This Row],[Data]]-$G$2</f>
        <v>-0.56000000000000227</v>
      </c>
      <c r="D26" s="2">
        <f>IF(Table5[[#This Row],[Diff with Median]]&gt;0,1,0)</f>
        <v>0</v>
      </c>
      <c r="J26" s="1"/>
    </row>
    <row r="27" spans="1:10" x14ac:dyDescent="0.25">
      <c r="A27" s="2">
        <v>26</v>
      </c>
      <c r="B27" s="3">
        <v>79.8</v>
      </c>
      <c r="C27" s="2">
        <f>Table5[[#This Row],[Data]]-$G$2</f>
        <v>-0.32000000000000739</v>
      </c>
      <c r="D27" s="2">
        <f>IF(Table5[[#This Row],[Diff with Median]]&gt;0,1,0)</f>
        <v>0</v>
      </c>
      <c r="J27" s="1"/>
    </row>
    <row r="28" spans="1:10" x14ac:dyDescent="0.25">
      <c r="J28" s="1"/>
    </row>
    <row r="29" spans="1:10" x14ac:dyDescent="0.25">
      <c r="J29" s="1"/>
    </row>
    <row r="30" spans="1:10" x14ac:dyDescent="0.25">
      <c r="J30" s="1"/>
    </row>
    <row r="31" spans="1:10" x14ac:dyDescent="0.25">
      <c r="J31" s="1"/>
    </row>
    <row r="32" spans="1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</sheetData>
  <mergeCells count="1">
    <mergeCell ref="J8:N1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6D0-D599-41D8-80B3-82AC95766CEC}">
  <dimension ref="A1:O11"/>
  <sheetViews>
    <sheetView workbookViewId="0">
      <selection activeCell="I11" sqref="I11"/>
    </sheetView>
  </sheetViews>
  <sheetFormatPr defaultRowHeight="15" x14ac:dyDescent="0.25"/>
  <cols>
    <col min="1" max="1" width="12" style="4" customWidth="1"/>
    <col min="2" max="2" width="9.5703125" style="4" bestFit="1" customWidth="1"/>
    <col min="3" max="3" width="12" style="4" bestFit="1" customWidth="1"/>
    <col min="4" max="7" width="11" style="4" customWidth="1"/>
    <col min="8" max="16384" width="9.140625" style="4"/>
  </cols>
  <sheetData>
    <row r="1" spans="1:15" x14ac:dyDescent="0.25">
      <c r="A1" s="4" t="s">
        <v>4</v>
      </c>
      <c r="B1" s="4" t="s">
        <v>0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15" x14ac:dyDescent="0.25">
      <c r="A2" s="4">
        <v>1</v>
      </c>
      <c r="B2" s="5">
        <v>294.2</v>
      </c>
      <c r="C2" s="14">
        <f>(Table6[[#This Row],[Data]]-$B$9)/$B$10</f>
        <v>-1.4555649344072346</v>
      </c>
      <c r="D2" s="14">
        <f>_xlfn.NORM.DIST(Table6[[#This Row],[z value]],0,1,TRUE)</f>
        <v>7.2756463747669614E-2</v>
      </c>
      <c r="E2" s="14">
        <f>Table6[[#This Row],[Sl. No]]/6</f>
        <v>0.16666666666666666</v>
      </c>
      <c r="F2" s="14">
        <v>0</v>
      </c>
      <c r="G2" s="14">
        <f>Table6[[#This Row],[Fn]]-Table6[[#This Row],[F0]]</f>
        <v>9.3910202918997043E-2</v>
      </c>
      <c r="H2" s="14">
        <f>Table6[[#This Row],[F0]]-Table6[[#This Row],[Fn-1]]</f>
        <v>7.2756463747669614E-2</v>
      </c>
    </row>
    <row r="3" spans="1:15" x14ac:dyDescent="0.25">
      <c r="A3" s="4">
        <v>2</v>
      </c>
      <c r="B3" s="5">
        <v>308.5</v>
      </c>
      <c r="C3" s="14">
        <f>(Table6[[#This Row],[Data]]-$B$9)/$B$10</f>
        <v>-0.49267001249404424</v>
      </c>
      <c r="D3" s="14">
        <f>_xlfn.NORM.DIST(Table6[[#This Row],[z value]],0,1,TRUE)</f>
        <v>0.31112288478710981</v>
      </c>
      <c r="E3" s="14">
        <f>Table6[[#This Row],[Sl. No]]/6</f>
        <v>0.33333333333333331</v>
      </c>
      <c r="F3" s="14">
        <f>E2</f>
        <v>0.16666666666666666</v>
      </c>
      <c r="G3" s="14">
        <f>Table6[[#This Row],[Fn]]-Table6[[#This Row],[F0]]</f>
        <v>2.2210448546223505E-2</v>
      </c>
      <c r="H3" s="16">
        <f>Table6[[#This Row],[F0]]-Table6[[#This Row],[Fn-1]]</f>
        <v>0.14445621812044315</v>
      </c>
    </row>
    <row r="4" spans="1:15" x14ac:dyDescent="0.25">
      <c r="A4" s="4">
        <v>3</v>
      </c>
      <c r="B4" s="5">
        <v>313.10000000000002</v>
      </c>
      <c r="C4" s="14">
        <f>(Table6[[#This Row],[Data]]-$B$9)/$B$10</f>
        <v>-0.18292759006042933</v>
      </c>
      <c r="D4" s="14">
        <f>_xlfn.NORM.DIST(Table6[[#This Row],[z value]],0,1,TRUE)</f>
        <v>0.42742741720564453</v>
      </c>
      <c r="E4" s="14">
        <f>Table6[[#This Row],[Sl. No]]/6</f>
        <v>0.5</v>
      </c>
      <c r="F4" s="14">
        <f t="shared" ref="F4:F7" si="0">E3</f>
        <v>0.33333333333333331</v>
      </c>
      <c r="G4" s="14">
        <f>Table6[[#This Row],[Fn]]-Table6[[#This Row],[F0]]</f>
        <v>7.2572582794355467E-2</v>
      </c>
      <c r="H4" s="14">
        <f>Table6[[#This Row],[F0]]-Table6[[#This Row],[Fn-1]]</f>
        <v>9.4094083872311218E-2</v>
      </c>
    </row>
    <row r="5" spans="1:15" x14ac:dyDescent="0.25">
      <c r="A5" s="4">
        <v>4</v>
      </c>
      <c r="B5" s="5">
        <v>317.7</v>
      </c>
      <c r="C5" s="14">
        <f>(Table6[[#This Row],[Data]]-$B$9)/$B$10</f>
        <v>0.12681483237318178</v>
      </c>
      <c r="D5" s="14">
        <f>_xlfn.NORM.DIST(Table6[[#This Row],[z value]],0,1,TRUE)</f>
        <v>0.55045652200719286</v>
      </c>
      <c r="E5" s="14">
        <f>Table6[[#This Row],[Sl. No]]/6</f>
        <v>0.66666666666666663</v>
      </c>
      <c r="F5" s="14">
        <f t="shared" si="0"/>
        <v>0.5</v>
      </c>
      <c r="G5" s="14">
        <f>Table6[[#This Row],[Fn]]-Table6[[#This Row],[F0]]</f>
        <v>0.11621014465947377</v>
      </c>
      <c r="H5" s="14">
        <f>Table6[[#This Row],[F0]]-Table6[[#This Row],[Fn-1]]</f>
        <v>5.0456522007192861E-2</v>
      </c>
    </row>
    <row r="6" spans="1:15" x14ac:dyDescent="0.25">
      <c r="A6" s="4">
        <v>5</v>
      </c>
      <c r="B6" s="5">
        <v>322.7</v>
      </c>
      <c r="C6" s="14">
        <f>(Table6[[#This Row],[Data]]-$B$9)/$B$10</f>
        <v>0.4634913784966746</v>
      </c>
      <c r="D6" s="14">
        <f>_xlfn.NORM.DIST(Table6[[#This Row],[z value]],0,1,TRUE)</f>
        <v>0.67849390339237192</v>
      </c>
      <c r="E6" s="14">
        <f>Table6[[#This Row],[Sl. No]]/6</f>
        <v>0.83333333333333337</v>
      </c>
      <c r="F6" s="14">
        <f t="shared" si="0"/>
        <v>0.66666666666666663</v>
      </c>
      <c r="G6" s="16">
        <f>Table6[[#This Row],[Fn]]-Table6[[#This Row],[F0]]</f>
        <v>0.15483942994096145</v>
      </c>
      <c r="H6" s="14">
        <f>Table6[[#This Row],[F0]]-Table6[[#This Row],[Fn-1]]</f>
        <v>1.1827236725705292E-2</v>
      </c>
      <c r="L6" s="35" t="s">
        <v>82</v>
      </c>
      <c r="M6" s="35"/>
      <c r="N6" s="35"/>
      <c r="O6" s="35"/>
    </row>
    <row r="7" spans="1:15" x14ac:dyDescent="0.25">
      <c r="A7" s="4">
        <v>6</v>
      </c>
      <c r="B7" s="5">
        <v>338.7</v>
      </c>
      <c r="C7" s="14">
        <f>(Table6[[#This Row],[Data]]-$B$9)/$B$10</f>
        <v>1.5408563260918517</v>
      </c>
      <c r="D7" s="14">
        <f>_xlfn.NORM.DIST(Table6[[#This Row],[z value]],0,1,TRUE)</f>
        <v>0.9383241214041308</v>
      </c>
      <c r="E7" s="14">
        <f>Table6[[#This Row],[Sl. No]]/6</f>
        <v>1</v>
      </c>
      <c r="F7" s="14">
        <f t="shared" si="0"/>
        <v>0.83333333333333337</v>
      </c>
      <c r="G7" s="14">
        <f>Table6[[#This Row],[Fn]]-Table6[[#This Row],[F0]]</f>
        <v>6.1675878595869205E-2</v>
      </c>
      <c r="H7" s="14">
        <f>Table6[[#This Row],[F0]]-Table6[[#This Row],[Fn-1]]</f>
        <v>0.10499078807079743</v>
      </c>
      <c r="L7" s="35"/>
      <c r="M7" s="35"/>
      <c r="N7" s="35"/>
      <c r="O7" s="35"/>
    </row>
    <row r="8" spans="1:15" x14ac:dyDescent="0.25">
      <c r="L8" s="35"/>
      <c r="M8" s="35"/>
      <c r="N8" s="35"/>
      <c r="O8" s="35"/>
    </row>
    <row r="9" spans="1:15" x14ac:dyDescent="0.25">
      <c r="A9" s="22" t="s">
        <v>28</v>
      </c>
      <c r="B9" s="19">
        <f>AVERAGE(Table6[Data])</f>
        <v>315.81666666666666</v>
      </c>
      <c r="F9" s="22" t="s">
        <v>36</v>
      </c>
      <c r="G9" s="19">
        <f>MAX(Table6[D+])</f>
        <v>0.15483942994096145</v>
      </c>
      <c r="H9" s="19">
        <f>MAX(Table6[D-])</f>
        <v>0.14445621812044315</v>
      </c>
      <c r="L9" s="35"/>
      <c r="M9" s="35"/>
      <c r="N9" s="35"/>
      <c r="O9" s="35"/>
    </row>
    <row r="10" spans="1:15" x14ac:dyDescent="0.25">
      <c r="A10" s="22" t="s">
        <v>29</v>
      </c>
      <c r="B10" s="19">
        <f>_xlfn.STDEV.S(Table6[Data])</f>
        <v>14.851049345641089</v>
      </c>
      <c r="F10" s="22" t="s">
        <v>37</v>
      </c>
      <c r="G10" s="19">
        <f>MAX(G9:H9)</f>
        <v>0.15483942994096145</v>
      </c>
      <c r="H10" s="19"/>
      <c r="L10" s="35"/>
      <c r="M10" s="35"/>
      <c r="N10" s="35"/>
      <c r="O10" s="35"/>
    </row>
    <row r="11" spans="1:15" x14ac:dyDescent="0.25">
      <c r="L11" s="35"/>
      <c r="M11" s="35"/>
      <c r="N11" s="35"/>
      <c r="O11" s="35"/>
    </row>
  </sheetData>
  <mergeCells count="1">
    <mergeCell ref="L6:O1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9C17-13FA-46A2-BF8D-0FA48E63B95F}">
  <dimension ref="A1:Q21"/>
  <sheetViews>
    <sheetView workbookViewId="0">
      <selection activeCell="I7" sqref="I7"/>
    </sheetView>
  </sheetViews>
  <sheetFormatPr defaultRowHeight="15" x14ac:dyDescent="0.25"/>
  <cols>
    <col min="1" max="1" width="10.42578125" style="4" bestFit="1" customWidth="1"/>
    <col min="2" max="2" width="9.5703125" style="4" bestFit="1" customWidth="1"/>
    <col min="3" max="3" width="14.42578125" style="4" bestFit="1" customWidth="1"/>
    <col min="4" max="5" width="10.5703125" style="10" customWidth="1"/>
    <col min="6" max="6" width="15.140625" style="10" bestFit="1" customWidth="1"/>
    <col min="7" max="16384" width="9.140625" style="4"/>
  </cols>
  <sheetData>
    <row r="1" spans="1:17" x14ac:dyDescent="0.25">
      <c r="A1" s="4" t="s">
        <v>38</v>
      </c>
      <c r="B1" s="4" t="s">
        <v>0</v>
      </c>
      <c r="C1" s="4" t="s">
        <v>39</v>
      </c>
      <c r="D1" s="10" t="s">
        <v>40</v>
      </c>
      <c r="E1" s="10" t="s">
        <v>41</v>
      </c>
      <c r="F1" s="10" t="s">
        <v>42</v>
      </c>
    </row>
    <row r="2" spans="1:17" x14ac:dyDescent="0.25">
      <c r="A2" s="4">
        <v>1</v>
      </c>
      <c r="B2" s="5">
        <v>0.6</v>
      </c>
      <c r="C2" s="4">
        <v>1</v>
      </c>
      <c r="D2" s="10">
        <v>0.1</v>
      </c>
      <c r="E2" s="10">
        <v>0</v>
      </c>
      <c r="F2" s="10">
        <f>ABS(Table7[[#This Row],[S1]]-Table7[[#This Row],[S2]])</f>
        <v>0.1</v>
      </c>
    </row>
    <row r="3" spans="1:17" x14ac:dyDescent="0.25">
      <c r="A3" s="4">
        <v>2</v>
      </c>
      <c r="B3" s="5">
        <v>1.2</v>
      </c>
      <c r="C3" s="4">
        <v>1</v>
      </c>
      <c r="D3" s="10">
        <v>0.2</v>
      </c>
      <c r="E3" s="10">
        <v>0</v>
      </c>
      <c r="F3" s="10">
        <f>ABS(Table7[[#This Row],[S1]]-Table7[[#This Row],[S2]])</f>
        <v>0.2</v>
      </c>
    </row>
    <row r="4" spans="1:17" x14ac:dyDescent="0.25">
      <c r="A4" s="4">
        <v>3</v>
      </c>
      <c r="B4" s="5">
        <v>1.6</v>
      </c>
      <c r="C4" s="4">
        <v>1</v>
      </c>
      <c r="D4" s="10">
        <v>0.3</v>
      </c>
      <c r="E4" s="10">
        <v>0</v>
      </c>
      <c r="F4" s="10">
        <f>ABS(Table7[[#This Row],[S1]]-Table7[[#This Row],[S2]])</f>
        <v>0.3</v>
      </c>
    </row>
    <row r="5" spans="1:17" x14ac:dyDescent="0.25">
      <c r="A5" s="4">
        <v>4</v>
      </c>
      <c r="B5" s="5">
        <v>1.7</v>
      </c>
      <c r="C5" s="4">
        <v>1</v>
      </c>
      <c r="D5" s="10">
        <v>0.4</v>
      </c>
      <c r="E5" s="10">
        <v>0</v>
      </c>
      <c r="F5" s="10">
        <f>ABS(Table7[[#This Row],[S1]]-Table7[[#This Row],[S2]])</f>
        <v>0.4</v>
      </c>
    </row>
    <row r="6" spans="1:17" x14ac:dyDescent="0.25">
      <c r="A6" s="4">
        <v>5</v>
      </c>
      <c r="B6" s="5">
        <v>1.7</v>
      </c>
      <c r="C6" s="4">
        <v>1</v>
      </c>
      <c r="D6" s="10">
        <v>0.5</v>
      </c>
      <c r="E6" s="10">
        <v>0</v>
      </c>
      <c r="F6" s="10">
        <f>ABS(Table7[[#This Row],[S1]]-Table7[[#This Row],[S2]])</f>
        <v>0.5</v>
      </c>
    </row>
    <row r="7" spans="1:17" ht="15.75" x14ac:dyDescent="0.25">
      <c r="A7" s="4">
        <v>6</v>
      </c>
      <c r="B7" s="5">
        <v>2.1</v>
      </c>
      <c r="C7" s="4">
        <v>1</v>
      </c>
      <c r="D7" s="10">
        <v>0.6</v>
      </c>
      <c r="E7" s="10">
        <v>0</v>
      </c>
      <c r="F7" s="10">
        <f>ABS(Table7[[#This Row],[S1]]-Table7[[#This Row],[S2]])</f>
        <v>0.6</v>
      </c>
      <c r="H7" s="23" t="s">
        <v>36</v>
      </c>
      <c r="I7" s="23">
        <f>MAX(Table7[ABS(S1-S2)])</f>
        <v>0.9</v>
      </c>
    </row>
    <row r="8" spans="1:17" x14ac:dyDescent="0.25">
      <c r="A8" s="4">
        <v>7</v>
      </c>
      <c r="B8" s="5">
        <v>2.1</v>
      </c>
      <c r="C8" s="4">
        <v>2</v>
      </c>
      <c r="D8" s="12">
        <v>0.6</v>
      </c>
      <c r="E8" s="10">
        <v>0.1</v>
      </c>
      <c r="F8" s="10">
        <f>ABS(Table7[[#This Row],[S1]]-Table7[[#This Row],[S2]])</f>
        <v>0.5</v>
      </c>
      <c r="L8" s="36" t="s">
        <v>83</v>
      </c>
      <c r="M8" s="36"/>
      <c r="N8" s="36"/>
      <c r="O8" s="36"/>
      <c r="P8" s="36"/>
      <c r="Q8" s="36"/>
    </row>
    <row r="9" spans="1:17" x14ac:dyDescent="0.25">
      <c r="A9" s="4">
        <v>8</v>
      </c>
      <c r="B9" s="5">
        <v>2.8</v>
      </c>
      <c r="C9" s="4">
        <v>1</v>
      </c>
      <c r="D9" s="10">
        <v>0.7</v>
      </c>
      <c r="E9" s="12">
        <v>0.1</v>
      </c>
      <c r="F9" s="10">
        <f>ABS(Table7[[#This Row],[S1]]-Table7[[#This Row],[S2]])</f>
        <v>0.6</v>
      </c>
      <c r="L9" s="36"/>
      <c r="M9" s="36"/>
      <c r="N9" s="36"/>
      <c r="O9" s="36"/>
      <c r="P9" s="36"/>
      <c r="Q9" s="36"/>
    </row>
    <row r="10" spans="1:17" x14ac:dyDescent="0.25">
      <c r="A10" s="4">
        <v>9</v>
      </c>
      <c r="B10" s="5">
        <v>2.9</v>
      </c>
      <c r="C10" s="4">
        <v>1</v>
      </c>
      <c r="D10" s="10">
        <v>0.8</v>
      </c>
      <c r="E10" s="12">
        <v>0.1</v>
      </c>
      <c r="F10" s="10">
        <f>ABS(Table7[[#This Row],[S1]]-Table7[[#This Row],[S2]])</f>
        <v>0.70000000000000007</v>
      </c>
      <c r="L10" s="36"/>
      <c r="M10" s="36"/>
      <c r="N10" s="36"/>
      <c r="O10" s="36"/>
      <c r="P10" s="36"/>
      <c r="Q10" s="36"/>
    </row>
    <row r="11" spans="1:17" x14ac:dyDescent="0.25">
      <c r="A11" s="4">
        <v>10</v>
      </c>
      <c r="B11" s="5">
        <v>3</v>
      </c>
      <c r="C11" s="4">
        <v>1</v>
      </c>
      <c r="D11" s="10">
        <v>0.9</v>
      </c>
      <c r="E11" s="12">
        <v>0.1</v>
      </c>
      <c r="F11" s="10">
        <f>ABS(Table7[[#This Row],[S1]]-Table7[[#This Row],[S2]])</f>
        <v>0.8</v>
      </c>
      <c r="L11" s="36"/>
      <c r="M11" s="36"/>
      <c r="N11" s="36"/>
      <c r="O11" s="36"/>
      <c r="P11" s="36"/>
      <c r="Q11" s="36"/>
    </row>
    <row r="12" spans="1:17" x14ac:dyDescent="0.25">
      <c r="A12" s="4">
        <v>11</v>
      </c>
      <c r="B12" s="5">
        <v>3.2</v>
      </c>
      <c r="C12" s="4">
        <v>1</v>
      </c>
      <c r="D12" s="10">
        <v>1</v>
      </c>
      <c r="E12" s="12">
        <v>0.1</v>
      </c>
      <c r="F12" s="11">
        <f>ABS(Table7[[#This Row],[S1]]-Table7[[#This Row],[S2]])</f>
        <v>0.9</v>
      </c>
      <c r="L12" s="36"/>
      <c r="M12" s="36"/>
      <c r="N12" s="36"/>
      <c r="O12" s="36"/>
      <c r="P12" s="36"/>
      <c r="Q12" s="36"/>
    </row>
    <row r="13" spans="1:17" x14ac:dyDescent="0.25">
      <c r="A13" s="4">
        <v>12</v>
      </c>
      <c r="B13" s="5">
        <v>4.4000000000000004</v>
      </c>
      <c r="C13" s="4">
        <v>2</v>
      </c>
      <c r="D13" s="12">
        <v>1</v>
      </c>
      <c r="E13" s="10">
        <v>0.2</v>
      </c>
      <c r="F13" s="10">
        <f>ABS(Table7[[#This Row],[S1]]-Table7[[#This Row],[S2]])</f>
        <v>0.8</v>
      </c>
      <c r="L13" s="36"/>
      <c r="M13" s="36"/>
      <c r="N13" s="36"/>
      <c r="O13" s="36"/>
      <c r="P13" s="36"/>
      <c r="Q13" s="36"/>
    </row>
    <row r="14" spans="1:17" x14ac:dyDescent="0.25">
      <c r="A14" s="4">
        <v>13</v>
      </c>
      <c r="B14" s="5">
        <v>7.4</v>
      </c>
      <c r="C14" s="4">
        <v>2</v>
      </c>
      <c r="D14" s="12">
        <v>1</v>
      </c>
      <c r="E14" s="10">
        <v>0.3</v>
      </c>
      <c r="F14" s="10">
        <f>ABS(Table7[[#This Row],[S1]]-Table7[[#This Row],[S2]])</f>
        <v>0.7</v>
      </c>
      <c r="L14" s="36"/>
      <c r="M14" s="36"/>
      <c r="N14" s="36"/>
      <c r="O14" s="36"/>
      <c r="P14" s="36"/>
      <c r="Q14" s="36"/>
    </row>
    <row r="15" spans="1:17" x14ac:dyDescent="0.25">
      <c r="A15" s="4">
        <v>14</v>
      </c>
      <c r="B15" s="5">
        <v>10.5</v>
      </c>
      <c r="C15" s="4">
        <v>2</v>
      </c>
      <c r="D15" s="12">
        <v>1</v>
      </c>
      <c r="E15" s="10">
        <v>0.4</v>
      </c>
      <c r="F15" s="10">
        <f>ABS(Table7[[#This Row],[S1]]-Table7[[#This Row],[S2]])</f>
        <v>0.6</v>
      </c>
      <c r="L15" s="36"/>
      <c r="M15" s="36"/>
      <c r="N15" s="36"/>
      <c r="O15" s="36"/>
      <c r="P15" s="36"/>
      <c r="Q15" s="36"/>
    </row>
    <row r="16" spans="1:17" x14ac:dyDescent="0.25">
      <c r="A16" s="4">
        <v>15</v>
      </c>
      <c r="B16" s="5">
        <v>13.7</v>
      </c>
      <c r="C16" s="4">
        <v>2</v>
      </c>
      <c r="D16" s="12">
        <v>1</v>
      </c>
      <c r="E16" s="10">
        <v>0.5</v>
      </c>
      <c r="F16" s="10">
        <f>ABS(Table7[[#This Row],[S1]]-Table7[[#This Row],[S2]])</f>
        <v>0.5</v>
      </c>
    </row>
    <row r="17" spans="1:6" x14ac:dyDescent="0.25">
      <c r="A17" s="4">
        <v>16</v>
      </c>
      <c r="B17" s="5">
        <v>16.899999999999999</v>
      </c>
      <c r="C17" s="4">
        <v>2</v>
      </c>
      <c r="D17" s="12">
        <v>1</v>
      </c>
      <c r="E17" s="10">
        <v>0.6</v>
      </c>
      <c r="F17" s="10">
        <f>ABS(Table7[[#This Row],[S1]]-Table7[[#This Row],[S2]])</f>
        <v>0.4</v>
      </c>
    </row>
    <row r="18" spans="1:6" x14ac:dyDescent="0.25">
      <c r="A18" s="4">
        <v>17</v>
      </c>
      <c r="B18" s="5">
        <v>20.399999999999999</v>
      </c>
      <c r="C18" s="4">
        <v>2</v>
      </c>
      <c r="D18" s="12">
        <v>1</v>
      </c>
      <c r="E18" s="10">
        <v>0.7</v>
      </c>
      <c r="F18" s="10">
        <f>ABS(Table7[[#This Row],[S1]]-Table7[[#This Row],[S2]])</f>
        <v>0.30000000000000004</v>
      </c>
    </row>
    <row r="19" spans="1:6" x14ac:dyDescent="0.25">
      <c r="A19" s="4">
        <v>18</v>
      </c>
      <c r="B19" s="5">
        <v>24</v>
      </c>
      <c r="C19" s="4">
        <v>2</v>
      </c>
      <c r="D19" s="12">
        <v>1</v>
      </c>
      <c r="E19" s="10">
        <v>0.8</v>
      </c>
      <c r="F19" s="10">
        <f>ABS(Table7[[#This Row],[S1]]-Table7[[#This Row],[S2]])</f>
        <v>0.19999999999999996</v>
      </c>
    </row>
    <row r="20" spans="1:6" x14ac:dyDescent="0.25">
      <c r="A20" s="4">
        <v>19</v>
      </c>
      <c r="B20" s="5">
        <v>28.8</v>
      </c>
      <c r="C20" s="4">
        <v>2</v>
      </c>
      <c r="D20" s="12">
        <v>1</v>
      </c>
      <c r="E20" s="10">
        <v>0.9</v>
      </c>
      <c r="F20" s="10">
        <f>ABS(Table7[[#This Row],[S1]]-Table7[[#This Row],[S2]])</f>
        <v>9.9999999999999978E-2</v>
      </c>
    </row>
    <row r="21" spans="1:6" x14ac:dyDescent="0.25">
      <c r="A21" s="4">
        <v>20</v>
      </c>
      <c r="B21" s="5">
        <v>36</v>
      </c>
      <c r="C21" s="4">
        <v>2</v>
      </c>
      <c r="D21" s="12">
        <v>1</v>
      </c>
      <c r="E21" s="10">
        <v>1</v>
      </c>
      <c r="F21" s="10">
        <f>ABS(Table7[[#This Row],[S1]]-Table7[[#This Row],[S2]])</f>
        <v>0</v>
      </c>
    </row>
  </sheetData>
  <mergeCells count="1">
    <mergeCell ref="L8:Q1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BBC6-5B12-4523-94EA-1710EAFC13EE}">
  <dimension ref="A1:Q16"/>
  <sheetViews>
    <sheetView topLeftCell="B1" zoomScaleNormal="100" workbookViewId="0">
      <selection activeCell="M15" sqref="M15"/>
    </sheetView>
  </sheetViews>
  <sheetFormatPr defaultRowHeight="15" x14ac:dyDescent="0.25"/>
  <cols>
    <col min="1" max="1" width="10.140625" style="4" bestFit="1" customWidth="1"/>
    <col min="2" max="8" width="11" style="4" customWidth="1"/>
    <col min="9" max="9" width="14" style="4" customWidth="1"/>
    <col min="10" max="10" width="9.140625" style="4"/>
    <col min="11" max="11" width="16.28515625" style="4" customWidth="1"/>
    <col min="12" max="16384" width="9.140625" style="4"/>
  </cols>
  <sheetData>
    <row r="1" spans="1:17" x14ac:dyDescent="0.25">
      <c r="A1" s="4" t="s">
        <v>45</v>
      </c>
      <c r="B1" s="4" t="s">
        <v>43</v>
      </c>
      <c r="C1" s="4" t="s">
        <v>44</v>
      </c>
      <c r="D1" s="4" t="s">
        <v>46</v>
      </c>
      <c r="E1" s="4" t="s">
        <v>47</v>
      </c>
      <c r="F1" s="4" t="s">
        <v>49</v>
      </c>
      <c r="G1" s="4" t="s">
        <v>50</v>
      </c>
      <c r="H1" s="4" t="s">
        <v>51</v>
      </c>
      <c r="I1" s="4" t="s">
        <v>52</v>
      </c>
    </row>
    <row r="2" spans="1:17" x14ac:dyDescent="0.25">
      <c r="A2" s="4">
        <v>3</v>
      </c>
      <c r="B2" s="1">
        <v>68</v>
      </c>
      <c r="C2" s="1">
        <v>64</v>
      </c>
      <c r="D2" s="3">
        <v>1</v>
      </c>
      <c r="E2" s="3">
        <v>1</v>
      </c>
      <c r="F2" s="4">
        <f>Table8[[#This Row],[Rx]]*Table8[[#This Row],[Ry]]</f>
        <v>1</v>
      </c>
      <c r="G2" s="4">
        <f>Table8[[#This Row],[Rx]]^2</f>
        <v>1</v>
      </c>
      <c r="H2" s="4">
        <f>Table8[[#This Row],[Ry]]^2</f>
        <v>1</v>
      </c>
      <c r="I2" s="4">
        <f>(Table8[[#This Row],[Rx]]-Table8[[#This Row],[Ry]])^2</f>
        <v>0</v>
      </c>
      <c r="K2" s="19" t="s">
        <v>57</v>
      </c>
      <c r="L2" s="19">
        <v>12</v>
      </c>
    </row>
    <row r="3" spans="1:17" x14ac:dyDescent="0.25">
      <c r="A3" s="4">
        <v>6</v>
      </c>
      <c r="B3" s="1">
        <v>70</v>
      </c>
      <c r="C3" s="1">
        <v>65</v>
      </c>
      <c r="D3" s="3">
        <v>2</v>
      </c>
      <c r="E3" s="3">
        <v>2.5</v>
      </c>
      <c r="F3" s="4">
        <f>Table8[[#This Row],[Rx]]*Table8[[#This Row],[Ry]]</f>
        <v>5</v>
      </c>
      <c r="G3" s="4">
        <f>Table8[[#This Row],[Rx]]^2</f>
        <v>4</v>
      </c>
      <c r="H3" s="4">
        <f>Table8[[#This Row],[Ry]]^2</f>
        <v>6.25</v>
      </c>
      <c r="I3" s="4">
        <f>(Table8[[#This Row],[Rx]]-Table8[[#This Row],[Ry]])^2</f>
        <v>0.25</v>
      </c>
      <c r="K3" s="19" t="s">
        <v>85</v>
      </c>
      <c r="L3" s="19">
        <f>L2*(L2+1)^2/4</f>
        <v>507</v>
      </c>
    </row>
    <row r="4" spans="1:17" x14ac:dyDescent="0.25">
      <c r="A4" s="4">
        <v>5</v>
      </c>
      <c r="B4" s="1">
        <v>77</v>
      </c>
      <c r="C4" s="1">
        <v>65</v>
      </c>
      <c r="D4" s="3">
        <v>6.5</v>
      </c>
      <c r="E4" s="3">
        <v>2.5</v>
      </c>
      <c r="F4" s="4">
        <f>Table8[[#This Row],[Rx]]*Table8[[#This Row],[Ry]]</f>
        <v>16.25</v>
      </c>
      <c r="G4" s="4">
        <f>Table8[[#This Row],[Rx]]^2</f>
        <v>42.25</v>
      </c>
      <c r="H4" s="4">
        <f>Table8[[#This Row],[Ry]]^2</f>
        <v>6.25</v>
      </c>
      <c r="I4" s="4">
        <f>(Table8[[#This Row],[Rx]]-Table8[[#This Row],[Ry]])^2</f>
        <v>16</v>
      </c>
      <c r="K4" s="19" t="s">
        <v>84</v>
      </c>
      <c r="L4" s="19">
        <f>(F14-L3)/(SQRT(G14-L3)*SQRT(H14-L3))</f>
        <v>0.73545087927028796</v>
      </c>
    </row>
    <row r="5" spans="1:17" x14ac:dyDescent="0.25">
      <c r="A5" s="4">
        <v>11</v>
      </c>
      <c r="B5" s="1">
        <v>72</v>
      </c>
      <c r="C5" s="1">
        <v>72</v>
      </c>
      <c r="D5" s="3">
        <v>5</v>
      </c>
      <c r="E5" s="3">
        <v>4.5</v>
      </c>
      <c r="F5" s="4">
        <f>Table8[[#This Row],[Rx]]*Table8[[#This Row],[Ry]]</f>
        <v>22.5</v>
      </c>
      <c r="G5" s="4">
        <f>Table8[[#This Row],[Rx]]^2</f>
        <v>25</v>
      </c>
      <c r="H5" s="4">
        <f>Table8[[#This Row],[Ry]]^2</f>
        <v>20.25</v>
      </c>
      <c r="I5" s="4">
        <f>(Table8[[#This Row],[Rx]]-Table8[[#This Row],[Ry]])^2</f>
        <v>0.25</v>
      </c>
    </row>
    <row r="6" spans="1:17" x14ac:dyDescent="0.25">
      <c r="A6" s="4">
        <v>10</v>
      </c>
      <c r="B6" s="1">
        <v>87</v>
      </c>
      <c r="C6" s="1">
        <v>72</v>
      </c>
      <c r="D6" s="3">
        <v>9</v>
      </c>
      <c r="E6" s="3">
        <v>4.5</v>
      </c>
      <c r="F6" s="4">
        <f>Table8[[#This Row],[Rx]]*Table8[[#This Row],[Ry]]</f>
        <v>40.5</v>
      </c>
      <c r="G6" s="4">
        <f>Table8[[#This Row],[Rx]]^2</f>
        <v>81</v>
      </c>
      <c r="H6" s="4">
        <f>Table8[[#This Row],[Ry]]^2</f>
        <v>20.25</v>
      </c>
      <c r="I6" s="4">
        <f>(Table8[[#This Row],[Rx]]-Table8[[#This Row],[Ry]])^2</f>
        <v>20.25</v>
      </c>
    </row>
    <row r="7" spans="1:17" x14ac:dyDescent="0.25">
      <c r="A7" s="4">
        <v>2</v>
      </c>
      <c r="B7" s="1">
        <v>77</v>
      </c>
      <c r="C7" s="1">
        <v>76</v>
      </c>
      <c r="D7" s="3">
        <v>6.5</v>
      </c>
      <c r="E7" s="3">
        <v>6</v>
      </c>
      <c r="F7" s="4">
        <f>Table8[[#This Row],[Rx]]*Table8[[#This Row],[Ry]]</f>
        <v>39</v>
      </c>
      <c r="G7" s="4">
        <f>Table8[[#This Row],[Rx]]^2</f>
        <v>42.25</v>
      </c>
      <c r="H7" s="4">
        <f>Table8[[#This Row],[Ry]]^2</f>
        <v>36</v>
      </c>
      <c r="I7" s="4">
        <f>(Table8[[#This Row],[Rx]]-Table8[[#This Row],[Ry]])^2</f>
        <v>0.25</v>
      </c>
    </row>
    <row r="8" spans="1:17" x14ac:dyDescent="0.25">
      <c r="A8" s="4">
        <v>1</v>
      </c>
      <c r="B8" s="1">
        <v>71</v>
      </c>
      <c r="C8" s="1">
        <v>77</v>
      </c>
      <c r="D8" s="3">
        <v>3.5</v>
      </c>
      <c r="E8" s="3">
        <v>7</v>
      </c>
      <c r="F8" s="4">
        <f>Table8[[#This Row],[Rx]]*Table8[[#This Row],[Ry]]</f>
        <v>24.5</v>
      </c>
      <c r="G8" s="4">
        <f>Table8[[#This Row],[Rx]]^2</f>
        <v>12.25</v>
      </c>
      <c r="H8" s="4">
        <f>Table8[[#This Row],[Ry]]^2</f>
        <v>49</v>
      </c>
      <c r="I8" s="4">
        <f>(Table8[[#This Row],[Rx]]-Table8[[#This Row],[Ry]])^2</f>
        <v>12.25</v>
      </c>
      <c r="M8" s="36" t="s">
        <v>86</v>
      </c>
      <c r="N8" s="36"/>
      <c r="O8" s="36"/>
      <c r="P8" s="36"/>
      <c r="Q8" s="36"/>
    </row>
    <row r="9" spans="1:17" x14ac:dyDescent="0.25">
      <c r="A9" s="4">
        <v>9</v>
      </c>
      <c r="B9" s="1">
        <v>71</v>
      </c>
      <c r="C9" s="1">
        <v>80</v>
      </c>
      <c r="D9" s="3">
        <v>3.5</v>
      </c>
      <c r="E9" s="3">
        <v>8</v>
      </c>
      <c r="F9" s="4">
        <f>Table8[[#This Row],[Rx]]*Table8[[#This Row],[Ry]]</f>
        <v>28</v>
      </c>
      <c r="G9" s="4">
        <f>Table8[[#This Row],[Rx]]^2</f>
        <v>12.25</v>
      </c>
      <c r="H9" s="4">
        <f>Table8[[#This Row],[Ry]]^2</f>
        <v>64</v>
      </c>
      <c r="I9" s="4">
        <f>(Table8[[#This Row],[Rx]]-Table8[[#This Row],[Ry]])^2</f>
        <v>20.25</v>
      </c>
      <c r="M9" s="36"/>
      <c r="N9" s="36"/>
      <c r="O9" s="36"/>
      <c r="P9" s="36"/>
      <c r="Q9" s="36"/>
    </row>
    <row r="10" spans="1:17" x14ac:dyDescent="0.25">
      <c r="A10" s="4">
        <v>7</v>
      </c>
      <c r="B10" s="1">
        <v>88</v>
      </c>
      <c r="C10" s="1">
        <v>81</v>
      </c>
      <c r="D10" s="3">
        <v>10</v>
      </c>
      <c r="E10" s="3">
        <v>9</v>
      </c>
      <c r="F10" s="4">
        <f>Table8[[#This Row],[Rx]]*Table8[[#This Row],[Ry]]</f>
        <v>90</v>
      </c>
      <c r="G10" s="4">
        <f>Table8[[#This Row],[Rx]]^2</f>
        <v>100</v>
      </c>
      <c r="H10" s="4">
        <f>Table8[[#This Row],[Ry]]^2</f>
        <v>81</v>
      </c>
      <c r="I10" s="4">
        <f>(Table8[[#This Row],[Rx]]-Table8[[#This Row],[Ry]])^2</f>
        <v>1</v>
      </c>
      <c r="M10" s="36"/>
      <c r="N10" s="36"/>
      <c r="O10" s="36"/>
      <c r="P10" s="36"/>
      <c r="Q10" s="36"/>
    </row>
    <row r="11" spans="1:17" x14ac:dyDescent="0.25">
      <c r="A11" s="4">
        <v>14</v>
      </c>
      <c r="B11" s="1">
        <v>86</v>
      </c>
      <c r="C11" s="1">
        <v>88</v>
      </c>
      <c r="D11" s="3">
        <v>8</v>
      </c>
      <c r="E11" s="3">
        <v>10</v>
      </c>
      <c r="F11" s="18">
        <f>Table8[[#This Row],[Rx]]*Table8[[#This Row],[Ry]]</f>
        <v>80</v>
      </c>
      <c r="G11" s="18">
        <f>Table8[[#This Row],[Rx]]^2</f>
        <v>64</v>
      </c>
      <c r="H11" s="18">
        <f>Table8[[#This Row],[Ry]]^2</f>
        <v>100</v>
      </c>
      <c r="I11" s="18">
        <f>(Table8[[#This Row],[Rx]]-Table8[[#This Row],[Ry]])^2</f>
        <v>4</v>
      </c>
      <c r="M11" s="36"/>
      <c r="N11" s="36"/>
      <c r="O11" s="36"/>
      <c r="P11" s="36"/>
      <c r="Q11" s="36"/>
    </row>
    <row r="12" spans="1:17" x14ac:dyDescent="0.25">
      <c r="A12" s="4">
        <v>4</v>
      </c>
      <c r="B12" s="1">
        <v>91</v>
      </c>
      <c r="C12" s="1">
        <v>90</v>
      </c>
      <c r="D12" s="3">
        <v>11.5</v>
      </c>
      <c r="E12" s="3">
        <v>11</v>
      </c>
      <c r="F12" s="4">
        <f>Table8[[#This Row],[Rx]]*Table8[[#This Row],[Ry]]</f>
        <v>126.5</v>
      </c>
      <c r="G12" s="4">
        <f>Table8[[#This Row],[Rx]]^2</f>
        <v>132.25</v>
      </c>
      <c r="H12" s="4">
        <f>Table8[[#This Row],[Ry]]^2</f>
        <v>121</v>
      </c>
      <c r="I12" s="4">
        <f>(Table8[[#This Row],[Rx]]-Table8[[#This Row],[Ry]])^2</f>
        <v>0.25</v>
      </c>
      <c r="M12" s="36"/>
      <c r="N12" s="36"/>
      <c r="O12" s="36"/>
      <c r="P12" s="36"/>
      <c r="Q12" s="36"/>
    </row>
    <row r="13" spans="1:17" x14ac:dyDescent="0.25">
      <c r="A13" s="4">
        <v>8</v>
      </c>
      <c r="B13" s="1">
        <v>91</v>
      </c>
      <c r="C13" s="1">
        <v>96</v>
      </c>
      <c r="D13" s="3">
        <v>11.5</v>
      </c>
      <c r="E13" s="3">
        <v>12</v>
      </c>
      <c r="F13" s="4">
        <f>Table8[[#This Row],[Rx]]*Table8[[#This Row],[Ry]]</f>
        <v>138</v>
      </c>
      <c r="G13" s="4">
        <f>Table8[[#This Row],[Rx]]^2</f>
        <v>132.25</v>
      </c>
      <c r="H13" s="4">
        <f>Table8[[#This Row],[Ry]]^2</f>
        <v>144</v>
      </c>
      <c r="I13" s="4">
        <f>(Table8[[#This Row],[Rx]]-Table8[[#This Row],[Ry]])^2</f>
        <v>0.25</v>
      </c>
      <c r="M13" s="36"/>
      <c r="N13" s="36"/>
      <c r="O13" s="36"/>
      <c r="P13" s="36"/>
      <c r="Q13" s="36"/>
    </row>
    <row r="14" spans="1:17" x14ac:dyDescent="0.25">
      <c r="A14" s="4">
        <v>12</v>
      </c>
      <c r="B14" s="3"/>
      <c r="C14" s="3"/>
      <c r="D14" s="3"/>
      <c r="E14" s="22" t="s">
        <v>53</v>
      </c>
      <c r="F14" s="22">
        <f>SUM(Table8[RxRy])</f>
        <v>611.25</v>
      </c>
      <c r="G14" s="22">
        <f>SUM(Table8[Rx^2])</f>
        <v>648.5</v>
      </c>
      <c r="H14" s="22">
        <f>SUM(Table8[Ry^2])</f>
        <v>649</v>
      </c>
      <c r="I14" s="22">
        <f>SUM(Table8[(Rx-Ry)^2])</f>
        <v>75</v>
      </c>
      <c r="M14" s="36"/>
      <c r="N14" s="36"/>
      <c r="O14" s="36"/>
      <c r="P14" s="36"/>
      <c r="Q14" s="36"/>
    </row>
    <row r="15" spans="1:17" x14ac:dyDescent="0.25">
      <c r="A15" s="4">
        <v>13</v>
      </c>
      <c r="B15" s="3"/>
      <c r="C15" s="3"/>
      <c r="D15" s="3"/>
      <c r="E15" s="3"/>
      <c r="F15" s="18"/>
      <c r="G15" s="18"/>
      <c r="H15" s="18"/>
      <c r="I15" s="18"/>
    </row>
    <row r="16" spans="1:17" x14ac:dyDescent="0.25">
      <c r="A16" s="4">
        <v>15</v>
      </c>
      <c r="B16" s="3"/>
      <c r="C16" s="3"/>
      <c r="D16" s="3"/>
      <c r="E16" s="3"/>
      <c r="F16" s="18"/>
      <c r="G16" s="18"/>
      <c r="H16" s="18"/>
      <c r="I16" s="18"/>
    </row>
  </sheetData>
  <mergeCells count="1">
    <mergeCell ref="M8:Q14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C3FB-DB71-4B05-A165-30ED291D63A4}">
  <dimension ref="A1:J17"/>
  <sheetViews>
    <sheetView workbookViewId="0">
      <selection activeCell="B6" sqref="B6"/>
    </sheetView>
  </sheetViews>
  <sheetFormatPr defaultRowHeight="15" x14ac:dyDescent="0.25"/>
  <cols>
    <col min="1" max="2" width="9.140625" style="4"/>
    <col min="3" max="3" width="19.140625" style="25" customWidth="1"/>
    <col min="4" max="4" width="21.7109375" style="25" customWidth="1"/>
  </cols>
  <sheetData>
    <row r="1" spans="1:10" x14ac:dyDescent="0.25">
      <c r="A1" s="4" t="s">
        <v>54</v>
      </c>
      <c r="B1" s="4" t="s">
        <v>0</v>
      </c>
      <c r="C1" s="25" t="s">
        <v>55</v>
      </c>
      <c r="D1" s="25" t="s">
        <v>56</v>
      </c>
      <c r="F1" s="13" t="s">
        <v>57</v>
      </c>
      <c r="G1" s="13">
        <f>15</f>
        <v>15</v>
      </c>
    </row>
    <row r="2" spans="1:10" x14ac:dyDescent="0.25">
      <c r="A2" s="4">
        <v>0</v>
      </c>
      <c r="B2" s="4" t="s">
        <v>58</v>
      </c>
      <c r="C2" s="25">
        <f>_xlfn.BINOM.DIST(Table9[[#This Row],[k]],$G$1,0.5,FALSE)</f>
        <v>3.0517578125000014E-5</v>
      </c>
      <c r="D2" s="25">
        <f>_xlfn.BINOM.DIST(Table9[[#This Row],[k]],$G$1,0.5,TRUE)</f>
        <v>3.0517578125000014E-5</v>
      </c>
      <c r="F2" s="20" t="s">
        <v>59</v>
      </c>
      <c r="G2" s="24">
        <f>D13-D6</f>
        <v>0.923187255859375</v>
      </c>
    </row>
    <row r="3" spans="1:10" x14ac:dyDescent="0.25">
      <c r="A3" s="4">
        <v>1</v>
      </c>
      <c r="B3" s="4">
        <v>46.9</v>
      </c>
      <c r="C3" s="25">
        <f>_xlfn.BINOM.DIST(Table9[[#This Row],[k]],$G$1,0.5,FALSE)</f>
        <v>4.5776367187500022E-4</v>
      </c>
      <c r="D3" s="25">
        <f>_xlfn.BINOM.DIST(Table9[[#This Row],[k]],$G$1,0.5,TRUE)</f>
        <v>4.8828125000000022E-4</v>
      </c>
      <c r="F3" s="37" t="s">
        <v>60</v>
      </c>
      <c r="G3" s="38"/>
      <c r="H3" s="38"/>
      <c r="I3" s="38"/>
      <c r="J3" s="39"/>
    </row>
    <row r="4" spans="1:10" x14ac:dyDescent="0.25">
      <c r="A4" s="4">
        <v>2</v>
      </c>
      <c r="B4" s="4">
        <v>47.2</v>
      </c>
      <c r="C4" s="25">
        <f>_xlfn.BINOM.DIST(Table9[[#This Row],[k]],$G$1,0.5,FALSE)</f>
        <v>3.2043457031250035E-3</v>
      </c>
      <c r="D4" s="25">
        <f>_xlfn.BINOM.DIST(Table9[[#This Row],[k]],$G$1,0.5,TRUE)</f>
        <v>3.6926269531250026E-3</v>
      </c>
    </row>
    <row r="5" spans="1:10" x14ac:dyDescent="0.25">
      <c r="A5" s="15">
        <v>3</v>
      </c>
      <c r="B5" s="15">
        <v>49.1</v>
      </c>
      <c r="C5" s="26">
        <f>_xlfn.BINOM.DIST(Table9[[#This Row],[k]],$G$1,0.5,FALSE)</f>
        <v>1.3885498046874986E-2</v>
      </c>
      <c r="D5" s="26">
        <f>_xlfn.BINOM.DIST(Table9[[#This Row],[k]],$G$1,0.5,TRUE)</f>
        <v>1.7578125E-2</v>
      </c>
    </row>
    <row r="6" spans="1:10" ht="15" customHeight="1" x14ac:dyDescent="0.25">
      <c r="A6" s="17">
        <v>4</v>
      </c>
      <c r="B6" s="17">
        <v>56.5</v>
      </c>
      <c r="C6" s="27">
        <f>_xlfn.BINOM.DIST(Table9[[#This Row],[k]],$G$1,0.5,FALSE)</f>
        <v>4.1656494140625021E-2</v>
      </c>
      <c r="D6" s="27">
        <f>_xlfn.BINOM.DIST(Table9[[#This Row],[k]],$G$1,0.5,TRUE)</f>
        <v>5.9234619140625007E-2</v>
      </c>
    </row>
    <row r="7" spans="1:10" x14ac:dyDescent="0.25">
      <c r="A7" s="4">
        <v>5</v>
      </c>
      <c r="B7" s="4">
        <v>56.8</v>
      </c>
      <c r="C7" s="25">
        <f>_xlfn.BINOM.DIST(Table9[[#This Row],[k]],$G$1,0.5,FALSE)</f>
        <v>9.1644287109375042E-2</v>
      </c>
      <c r="D7" s="25">
        <f>_xlfn.BINOM.DIST(Table9[[#This Row],[k]],$G$1,0.5,TRUE)</f>
        <v>0.15087890625000006</v>
      </c>
    </row>
    <row r="8" spans="1:10" x14ac:dyDescent="0.25">
      <c r="A8" s="4">
        <v>6</v>
      </c>
      <c r="B8" s="4">
        <v>59.2</v>
      </c>
      <c r="C8" s="25">
        <f>_xlfn.BINOM.DIST(Table9[[#This Row],[k]],$G$1,0.5,FALSE)</f>
        <v>0.152740478515625</v>
      </c>
      <c r="D8" s="25">
        <f>_xlfn.BINOM.DIST(Table9[[#This Row],[k]],$G$1,0.5,TRUE)</f>
        <v>0.30361938476562511</v>
      </c>
    </row>
    <row r="9" spans="1:10" x14ac:dyDescent="0.25">
      <c r="A9" s="4">
        <v>7</v>
      </c>
      <c r="B9" s="4">
        <v>59.9</v>
      </c>
      <c r="C9" s="25">
        <f>_xlfn.BINOM.DIST(Table9[[#This Row],[k]],$G$1,0.5,FALSE)</f>
        <v>0.19638061523437506</v>
      </c>
      <c r="D9" s="25">
        <f>_xlfn.BINOM.DIST(Table9[[#This Row],[k]],$G$1,0.5,TRUE)</f>
        <v>0.5</v>
      </c>
    </row>
    <row r="10" spans="1:10" x14ac:dyDescent="0.25">
      <c r="A10" s="4">
        <v>8</v>
      </c>
      <c r="B10" s="4">
        <v>63.2</v>
      </c>
      <c r="C10" s="25">
        <f>_xlfn.BINOM.DIST(Table9[[#This Row],[k]],$G$1,0.5,FALSE)</f>
        <v>0.19638061523437506</v>
      </c>
      <c r="D10" s="25">
        <f>_xlfn.BINOM.DIST(Table9[[#This Row],[k]],$G$1,0.5,TRUE)</f>
        <v>0.69638061523437489</v>
      </c>
    </row>
    <row r="11" spans="1:10" x14ac:dyDescent="0.25">
      <c r="A11" s="4">
        <v>9</v>
      </c>
      <c r="B11" s="4">
        <v>63.3</v>
      </c>
      <c r="C11" s="25">
        <f>_xlfn.BINOM.DIST(Table9[[#This Row],[k]],$G$1,0.5,FALSE)</f>
        <v>0.152740478515625</v>
      </c>
      <c r="D11" s="25">
        <f>_xlfn.BINOM.DIST(Table9[[#This Row],[k]],$G$1,0.5,TRUE)</f>
        <v>0.84912109375</v>
      </c>
    </row>
    <row r="12" spans="1:10" x14ac:dyDescent="0.25">
      <c r="A12" s="15">
        <v>10</v>
      </c>
      <c r="B12" s="15">
        <v>63.4</v>
      </c>
      <c r="C12" s="26">
        <f>_xlfn.BINOM.DIST(Table9[[#This Row],[k]],$G$1,0.5,FALSE)</f>
        <v>9.1644287109375042E-2</v>
      </c>
      <c r="D12" s="26">
        <f>_xlfn.BINOM.DIST(Table9[[#This Row],[k]],$G$1,0.5,TRUE)</f>
        <v>0.940765380859375</v>
      </c>
    </row>
    <row r="13" spans="1:10" x14ac:dyDescent="0.25">
      <c r="A13" s="17">
        <v>11</v>
      </c>
      <c r="B13" s="17">
        <v>63.7</v>
      </c>
      <c r="C13" s="27">
        <f>_xlfn.BINOM.DIST(Table9[[#This Row],[k]],$G$1,0.5,FALSE)</f>
        <v>4.1656494140625021E-2</v>
      </c>
      <c r="D13" s="27">
        <f>_xlfn.BINOM.DIST(Table9[[#This Row],[k]],$G$1,0.5,TRUE)</f>
        <v>0.982421875</v>
      </c>
    </row>
    <row r="14" spans="1:10" x14ac:dyDescent="0.25">
      <c r="A14" s="4">
        <v>12</v>
      </c>
      <c r="B14" s="4">
        <v>64.099999999999994</v>
      </c>
      <c r="C14" s="25">
        <f>_xlfn.BINOM.DIST(Table9[[#This Row],[k]],$G$1,0.5,FALSE)</f>
        <v>1.3885498046874986E-2</v>
      </c>
      <c r="D14" s="25">
        <f>_xlfn.BINOM.DIST(Table9[[#This Row],[k]],$G$1,0.5,TRUE)</f>
        <v>0.996307373046875</v>
      </c>
    </row>
    <row r="15" spans="1:10" x14ac:dyDescent="0.25">
      <c r="A15" s="4">
        <v>13</v>
      </c>
      <c r="B15" s="4">
        <v>67.099999999999994</v>
      </c>
      <c r="C15" s="25">
        <f>_xlfn.BINOM.DIST(Table9[[#This Row],[k]],$G$1,0.5,FALSE)</f>
        <v>3.2043457031250035E-3</v>
      </c>
      <c r="D15" s="25">
        <f>_xlfn.BINOM.DIST(Table9[[#This Row],[k]],$G$1,0.5,TRUE)</f>
        <v>0.99951171875</v>
      </c>
    </row>
    <row r="16" spans="1:10" x14ac:dyDescent="0.25">
      <c r="A16" s="4">
        <v>14</v>
      </c>
      <c r="B16" s="4">
        <v>67.7</v>
      </c>
      <c r="C16" s="25">
        <f>_xlfn.BINOM.DIST(Table9[[#This Row],[k]],$G$1,0.5,FALSE)</f>
        <v>4.5776367187500022E-4</v>
      </c>
      <c r="D16" s="25">
        <f>_xlfn.BINOM.DIST(Table9[[#This Row],[k]],$G$1,0.5,TRUE)</f>
        <v>0.999969482421875</v>
      </c>
    </row>
    <row r="17" spans="1:4" x14ac:dyDescent="0.25">
      <c r="A17" s="4">
        <v>15</v>
      </c>
      <c r="B17" s="4">
        <v>73.3</v>
      </c>
      <c r="C17" s="25">
        <f>_xlfn.BINOM.DIST(Table9[[#This Row],[k]],$G$1,0.5,FALSE)</f>
        <v>3.0517578125000014E-5</v>
      </c>
      <c r="D17" s="25">
        <f>_xlfn.BINOM.DIST(Table9[[#This Row],[k]],$G$1,0.5,TRUE)</f>
        <v>1</v>
      </c>
    </row>
  </sheetData>
  <mergeCells count="1">
    <mergeCell ref="F3:J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E437-9503-4F9A-8072-0EE422CE5AE7}">
  <dimension ref="A1:L26"/>
  <sheetViews>
    <sheetView workbookViewId="0">
      <selection activeCell="L11" sqref="L11"/>
    </sheetView>
  </sheetViews>
  <sheetFormatPr defaultRowHeight="15" x14ac:dyDescent="0.25"/>
  <cols>
    <col min="1" max="1" width="14.5703125" style="4" customWidth="1"/>
    <col min="2" max="2" width="17.7109375" style="4" customWidth="1"/>
    <col min="3" max="3" width="23.85546875" style="4" customWidth="1"/>
    <col min="5" max="5" width="13.85546875" customWidth="1"/>
    <col min="8" max="9" width="13.140625" bestFit="1" customWidth="1"/>
    <col min="10" max="10" width="12.7109375" bestFit="1" customWidth="1"/>
  </cols>
  <sheetData>
    <row r="1" spans="1:12" ht="15.75" x14ac:dyDescent="0.25">
      <c r="A1" s="28" t="s">
        <v>61</v>
      </c>
      <c r="B1" s="28" t="s">
        <v>0</v>
      </c>
      <c r="C1" s="28" t="s">
        <v>8</v>
      </c>
      <c r="E1" s="29" t="s">
        <v>64</v>
      </c>
      <c r="F1" s="29">
        <v>25</v>
      </c>
      <c r="H1" s="22" t="s">
        <v>61</v>
      </c>
      <c r="I1" s="22" t="s">
        <v>87</v>
      </c>
      <c r="J1" s="22" t="s">
        <v>88</v>
      </c>
      <c r="K1" s="22"/>
    </row>
    <row r="2" spans="1:12" x14ac:dyDescent="0.25">
      <c r="A2" s="4">
        <v>15</v>
      </c>
      <c r="B2" s="5">
        <v>7</v>
      </c>
      <c r="C2" s="5">
        <v>2</v>
      </c>
      <c r="E2" s="29" t="s">
        <v>62</v>
      </c>
      <c r="F2" s="29">
        <f>(_xlfn.STDEV.S(Table10[Rank]))^2</f>
        <v>53.541666666666671</v>
      </c>
      <c r="H2" s="19">
        <v>15</v>
      </c>
      <c r="I2" s="19">
        <v>5</v>
      </c>
      <c r="J2" s="19">
        <v>27.5</v>
      </c>
      <c r="K2" s="19">
        <f>J2*J2/I2</f>
        <v>151.25</v>
      </c>
    </row>
    <row r="3" spans="1:12" x14ac:dyDescent="0.25">
      <c r="A3" s="4">
        <v>15</v>
      </c>
      <c r="B3" s="5">
        <v>7</v>
      </c>
      <c r="C3" s="5">
        <v>2</v>
      </c>
      <c r="E3" s="29"/>
      <c r="F3" s="29"/>
      <c r="H3" s="19">
        <v>20</v>
      </c>
      <c r="I3" s="19">
        <v>5</v>
      </c>
      <c r="J3" s="19">
        <v>66</v>
      </c>
      <c r="K3" s="19">
        <f t="shared" ref="K3:K6" si="0">J3*J3/I3</f>
        <v>871.2</v>
      </c>
    </row>
    <row r="4" spans="1:12" x14ac:dyDescent="0.25">
      <c r="A4" s="5">
        <v>35</v>
      </c>
      <c r="B4" s="5">
        <v>7</v>
      </c>
      <c r="C4" s="4">
        <v>2</v>
      </c>
      <c r="E4" s="29" t="s">
        <v>63</v>
      </c>
      <c r="F4" s="29">
        <f>F1*((F1+1)^2)/4</f>
        <v>4225</v>
      </c>
      <c r="H4" s="19">
        <v>25</v>
      </c>
      <c r="I4" s="19">
        <v>5</v>
      </c>
      <c r="J4" s="19">
        <v>85</v>
      </c>
      <c r="K4" s="19">
        <f t="shared" si="0"/>
        <v>1445</v>
      </c>
    </row>
    <row r="5" spans="1:12" x14ac:dyDescent="0.25">
      <c r="A5" s="4">
        <v>15</v>
      </c>
      <c r="B5" s="5">
        <v>9</v>
      </c>
      <c r="C5" s="5">
        <v>4</v>
      </c>
      <c r="E5" s="29" t="s">
        <v>65</v>
      </c>
      <c r="F5" s="29">
        <f>(K7-F4)/F2</f>
        <v>19.063657587548633</v>
      </c>
      <c r="H5" s="19">
        <v>30</v>
      </c>
      <c r="I5" s="19">
        <v>5</v>
      </c>
      <c r="J5" s="19">
        <v>113</v>
      </c>
      <c r="K5" s="19">
        <f t="shared" si="0"/>
        <v>2553.8000000000002</v>
      </c>
    </row>
    <row r="6" spans="1:12" x14ac:dyDescent="0.25">
      <c r="A6" s="5">
        <v>35</v>
      </c>
      <c r="B6" s="5">
        <v>10</v>
      </c>
      <c r="C6" s="5">
        <v>5</v>
      </c>
      <c r="H6" s="19">
        <v>35</v>
      </c>
      <c r="I6" s="19">
        <v>5</v>
      </c>
      <c r="J6" s="19">
        <v>33.5</v>
      </c>
      <c r="K6" s="19">
        <f t="shared" si="0"/>
        <v>224.45</v>
      </c>
    </row>
    <row r="7" spans="1:12" x14ac:dyDescent="0.25">
      <c r="A7" s="4">
        <v>15</v>
      </c>
      <c r="B7" s="5">
        <v>11</v>
      </c>
      <c r="C7" s="4">
        <v>7</v>
      </c>
      <c r="J7" s="29" t="s">
        <v>53</v>
      </c>
      <c r="K7" s="30">
        <f>SUM(K2:K6)</f>
        <v>5245.7</v>
      </c>
    </row>
    <row r="8" spans="1:12" x14ac:dyDescent="0.25">
      <c r="A8" s="5">
        <v>35</v>
      </c>
      <c r="B8" s="5">
        <v>11</v>
      </c>
      <c r="C8" s="5">
        <v>7</v>
      </c>
    </row>
    <row r="9" spans="1:12" x14ac:dyDescent="0.25">
      <c r="A9" s="5">
        <v>35</v>
      </c>
      <c r="B9" s="5">
        <v>11</v>
      </c>
      <c r="C9" s="5">
        <v>7</v>
      </c>
    </row>
    <row r="10" spans="1:12" x14ac:dyDescent="0.25">
      <c r="A10" s="5">
        <v>20</v>
      </c>
      <c r="B10" s="5">
        <v>12</v>
      </c>
      <c r="C10" s="4">
        <v>9.5</v>
      </c>
    </row>
    <row r="11" spans="1:12" x14ac:dyDescent="0.25">
      <c r="A11" s="5">
        <v>20</v>
      </c>
      <c r="B11" s="5">
        <v>12</v>
      </c>
      <c r="C11" s="5">
        <v>9.5</v>
      </c>
    </row>
    <row r="12" spans="1:12" x14ac:dyDescent="0.25">
      <c r="A12" s="5">
        <v>25</v>
      </c>
      <c r="B12" s="5">
        <v>14</v>
      </c>
      <c r="C12" s="5">
        <v>11</v>
      </c>
    </row>
    <row r="13" spans="1:12" x14ac:dyDescent="0.25">
      <c r="A13" s="4">
        <v>15</v>
      </c>
      <c r="B13" s="5">
        <v>15</v>
      </c>
      <c r="C13" s="4">
        <v>12.5</v>
      </c>
    </row>
    <row r="14" spans="1:12" x14ac:dyDescent="0.25">
      <c r="A14" s="5">
        <v>35</v>
      </c>
      <c r="B14" s="5">
        <v>15</v>
      </c>
      <c r="C14" s="5">
        <v>12.5</v>
      </c>
      <c r="H14" s="34" t="s">
        <v>79</v>
      </c>
      <c r="I14" s="34"/>
      <c r="J14" s="34"/>
      <c r="K14" s="34"/>
      <c r="L14" s="34"/>
    </row>
    <row r="15" spans="1:12" x14ac:dyDescent="0.25">
      <c r="A15" s="5">
        <v>20</v>
      </c>
      <c r="B15" s="5">
        <v>17</v>
      </c>
      <c r="C15" s="5">
        <v>14</v>
      </c>
      <c r="H15" s="34"/>
      <c r="I15" s="34"/>
      <c r="J15" s="34"/>
      <c r="K15" s="34"/>
      <c r="L15" s="34"/>
    </row>
    <row r="16" spans="1:12" x14ac:dyDescent="0.25">
      <c r="A16" s="5">
        <v>20</v>
      </c>
      <c r="B16" s="5">
        <v>18</v>
      </c>
      <c r="C16" s="4">
        <v>16.5</v>
      </c>
      <c r="H16" s="34"/>
      <c r="I16" s="34"/>
      <c r="J16" s="34"/>
      <c r="K16" s="34"/>
      <c r="L16" s="34"/>
    </row>
    <row r="17" spans="1:12" x14ac:dyDescent="0.25">
      <c r="A17" s="5">
        <v>20</v>
      </c>
      <c r="B17" s="5">
        <v>18</v>
      </c>
      <c r="C17" s="4">
        <v>16.5</v>
      </c>
      <c r="H17" s="34"/>
      <c r="I17" s="34"/>
      <c r="J17" s="34"/>
      <c r="K17" s="34"/>
      <c r="L17" s="34"/>
    </row>
    <row r="18" spans="1:12" x14ac:dyDescent="0.25">
      <c r="A18" s="5">
        <v>25</v>
      </c>
      <c r="B18" s="5">
        <v>18</v>
      </c>
      <c r="C18" s="4">
        <v>16.5</v>
      </c>
      <c r="H18" s="34"/>
      <c r="I18" s="34"/>
      <c r="J18" s="34"/>
      <c r="K18" s="34"/>
      <c r="L18" s="34"/>
    </row>
    <row r="19" spans="1:12" x14ac:dyDescent="0.25">
      <c r="A19" s="5">
        <v>25</v>
      </c>
      <c r="B19" s="5">
        <v>18</v>
      </c>
      <c r="C19" s="4">
        <v>16.5</v>
      </c>
    </row>
    <row r="20" spans="1:12" x14ac:dyDescent="0.25">
      <c r="A20" s="5">
        <v>25</v>
      </c>
      <c r="B20" s="5">
        <v>19</v>
      </c>
      <c r="C20" s="5">
        <v>20.5</v>
      </c>
    </row>
    <row r="21" spans="1:12" x14ac:dyDescent="0.25">
      <c r="A21" s="5">
        <v>25</v>
      </c>
      <c r="B21" s="5">
        <v>19</v>
      </c>
      <c r="C21" s="5">
        <v>20.5</v>
      </c>
    </row>
    <row r="22" spans="1:12" x14ac:dyDescent="0.25">
      <c r="A22" s="5">
        <v>30</v>
      </c>
      <c r="B22" s="5">
        <v>19</v>
      </c>
      <c r="C22" s="5">
        <v>20.5</v>
      </c>
    </row>
    <row r="23" spans="1:12" x14ac:dyDescent="0.25">
      <c r="A23" s="5">
        <v>30</v>
      </c>
      <c r="B23" s="5">
        <v>19</v>
      </c>
      <c r="C23" s="5">
        <v>20.5</v>
      </c>
    </row>
    <row r="24" spans="1:12" x14ac:dyDescent="0.25">
      <c r="A24" s="5">
        <v>30</v>
      </c>
      <c r="B24" s="5">
        <v>22</v>
      </c>
      <c r="C24" s="5">
        <v>23</v>
      </c>
    </row>
    <row r="25" spans="1:12" x14ac:dyDescent="0.25">
      <c r="A25" s="5">
        <v>30</v>
      </c>
      <c r="B25" s="5">
        <v>23</v>
      </c>
      <c r="C25" s="4">
        <v>24</v>
      </c>
    </row>
    <row r="26" spans="1:12" x14ac:dyDescent="0.25">
      <c r="A26" s="5">
        <v>30</v>
      </c>
      <c r="B26" s="5">
        <v>25</v>
      </c>
      <c r="C26" s="5">
        <v>25</v>
      </c>
    </row>
  </sheetData>
  <mergeCells count="1">
    <mergeCell ref="H14:L1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Sign T</vt:lpstr>
      <vt:lpstr>Wilcoxon</vt:lpstr>
      <vt:lpstr>M-W</vt:lpstr>
      <vt:lpstr>Run</vt:lpstr>
      <vt:lpstr>Kolmo-smir</vt:lpstr>
      <vt:lpstr>2 Sample Kolmo</vt:lpstr>
      <vt:lpstr>Spearman</vt:lpstr>
      <vt:lpstr>Confidence Int</vt:lpstr>
      <vt:lpstr>Kruskal-Wallis</vt:lpstr>
      <vt:lpstr>A-D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Pramatosh</dc:creator>
  <cp:lastModifiedBy>Pramatosh</cp:lastModifiedBy>
  <dcterms:created xsi:type="dcterms:W3CDTF">2021-06-30T05:05:39Z</dcterms:created>
  <dcterms:modified xsi:type="dcterms:W3CDTF">2021-07-22T05:17:09Z</dcterms:modified>
</cp:coreProperties>
</file>