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Elliptic" sheetId="1" r:id="rId4"/>
    <sheet state="hidden" name="Sheet1" sheetId="2" r:id="rId5"/>
    <sheet state="visible" name="For Parabolic (Barkers)" sheetId="3" r:id="rId6"/>
    <sheet state="visible" name="For Hyperbolic" sheetId="4" r:id="rId7"/>
    <sheet state="visible" name="Universal Variable Formula" sheetId="5" r:id="rId8"/>
    <sheet state="visible" name="SV to OE and others" sheetId="6" r:id="rId9"/>
    <sheet state="visible" name="OE to SV " sheetId="7" r:id="rId10"/>
    <sheet state="visible" name="JD Sidereal" sheetId="8" r:id="rId11"/>
    <sheet state="visible" name="Sidereal to 6OE" sheetId="9" r:id="rId12"/>
  </sheets>
  <definedNames/>
  <calcPr/>
</workbook>
</file>

<file path=xl/sharedStrings.xml><?xml version="1.0" encoding="utf-8"?>
<sst xmlns="http://schemas.openxmlformats.org/spreadsheetml/2006/main" count="444" uniqueCount="301">
  <si>
    <t>Kepler's Equation Solver</t>
  </si>
  <si>
    <t>M = E - e sin(E)</t>
  </si>
  <si>
    <t>Given eccentricity e and mean anomaly M, find eccentric anomaly E. Subsequently, convert that E into true anomaly θ</t>
  </si>
  <si>
    <t>Time of flight, t</t>
  </si>
  <si>
    <t>Radius of apogee, ra</t>
  </si>
  <si>
    <t>Radius of perigee, rp</t>
  </si>
  <si>
    <t>Semi-major axis, a</t>
  </si>
  <si>
    <t>Eccentricity, e</t>
  </si>
  <si>
    <t>Period, P</t>
  </si>
  <si>
    <t>Mean anomaly, M</t>
  </si>
  <si>
    <t>eccentricity, e</t>
  </si>
  <si>
    <t>mean anomaly, M</t>
  </si>
  <si>
    <t>Eccentric anomaly, E</t>
  </si>
  <si>
    <t>ratio f(E)/f'(E)</t>
  </si>
  <si>
    <t>First guess, E₀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</si>
  <si>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</si>
  <si>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</si>
  <si>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</si>
  <si>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</si>
  <si>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</si>
  <si>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</si>
  <si>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</si>
  <si>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</si>
  <si>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</si>
  <si>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</si>
  <si>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true anomaly, θ</t>
  </si>
  <si>
    <t>rad</t>
  </si>
  <si>
    <t>or</t>
  </si>
  <si>
    <t>deg</t>
  </si>
  <si>
    <t>*This solver is useful for finding true anomaly θ when the time-of-flight t is given</t>
  </si>
  <si>
    <t>Barker's Equation Solver</t>
  </si>
  <si>
    <t>Barker's equation relates the time-of-flight t to the true anomaly  of a parabolic trajectory.</t>
  </si>
  <si>
    <t>Little Converter</t>
  </si>
  <si>
    <t>deg to rad converter</t>
  </si>
  <si>
    <t>rad to deg converter</t>
  </si>
  <si>
    <t>Task #1: Given true anomaly θ, find the time-of-flight</t>
  </si>
  <si>
    <t>Task #2: Given  time-of-flight t, find the true anomaly θ</t>
  </si>
  <si>
    <t>Input</t>
  </si>
  <si>
    <t xml:space="preserve">INITIAL true anomaly θ_0 (rad) </t>
  </si>
  <si>
    <t>time at periapsis passage (s)</t>
  </si>
  <si>
    <t>FINAL true anomaly θ_f (rad)</t>
  </si>
  <si>
    <t>time-of-flight, t (s)</t>
  </si>
  <si>
    <t>angular momentum, h</t>
  </si>
  <si>
    <t>gravitational parameter, μ</t>
  </si>
  <si>
    <t>Output</t>
  </si>
  <si>
    <t>semil-latus rectum, p</t>
  </si>
  <si>
    <t>D_0</t>
  </si>
  <si>
    <t>A =</t>
  </si>
  <si>
    <t>D_f</t>
  </si>
  <si>
    <t xml:space="preserve"> </t>
  </si>
  <si>
    <t>B=</t>
  </si>
  <si>
    <t>the time between θ_0 and θ_f on a parabolic trajectory is</t>
  </si>
  <si>
    <t>t_f - t_0</t>
  </si>
  <si>
    <t>true anomaly θ (rad)</t>
  </si>
  <si>
    <t>Altitude at perigee</t>
  </si>
  <si>
    <t>km</t>
  </si>
  <si>
    <t>μ</t>
  </si>
  <si>
    <t>Radius at perigee</t>
  </si>
  <si>
    <t>Velocity at perigee</t>
  </si>
  <si>
    <t>Angular momentum</t>
  </si>
  <si>
    <t>True anomally</t>
  </si>
  <si>
    <t xml:space="preserve">Kepler's Equation Solver </t>
  </si>
  <si>
    <t>M = e sinh F - F</t>
  </si>
  <si>
    <t>To find the hyperbolic eccentric anomaly F .The eccentricity e and the hyperbolic Mean Anomaly Mh are given.</t>
  </si>
  <si>
    <t>s</t>
  </si>
  <si>
    <t>M is calculated from t2</t>
  </si>
  <si>
    <t>Eccentric anomaly, F</t>
  </si>
  <si>
    <t>ratio f(F)/f'(F)</t>
  </si>
  <si>
    <t>First guess, F₀</t>
  </si>
  <si>
    <t>F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</si>
  <si>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</si>
  <si>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</si>
  <si>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</si>
  <si>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</si>
  <si>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</si>
  <si>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</si>
  <si>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</si>
  <si>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</si>
  <si>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</si>
  <si>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radians</t>
  </si>
  <si>
    <t>degrees</t>
  </si>
  <si>
    <t xml:space="preserve">or </t>
  </si>
  <si>
    <r>
      <rPr>
        <rFont val="Calibri"/>
        <i/>
        <color theme="1"/>
        <sz val="9.0"/>
      </rPr>
      <t xml:space="preserve">^this is </t>
    </r>
    <r>
      <rPr>
        <rFont val="Calibri"/>
        <i val="0"/>
        <color theme="1"/>
        <sz val="9.0"/>
      </rPr>
      <t>θ2</t>
    </r>
  </si>
  <si>
    <t xml:space="preserve">ALGORITHM 2: Given r_0, v_0, and Δt , find r and v after that. </t>
  </si>
  <si>
    <t>NOTE:</t>
  </si>
  <si>
    <r>
      <rPr>
        <rFont val="Arial"/>
        <color theme="1"/>
        <sz val="9.0"/>
      </rPr>
      <t xml:space="preserve">you can change </t>
    </r>
    <r>
      <rPr>
        <rFont val="Arial"/>
        <b/>
        <color theme="1"/>
        <sz val="9.0"/>
      </rPr>
      <t>input</t>
    </r>
    <r>
      <rPr>
        <rFont val="Arial"/>
        <color theme="1"/>
        <sz val="9.0"/>
      </rPr>
      <t xml:space="preserve"> that is colored yellow</t>
    </r>
  </si>
  <si>
    <t>radius of Earth, R_E</t>
  </si>
  <si>
    <r>
      <rPr>
        <rFont val="Arial"/>
        <color theme="1"/>
        <sz val="9.0"/>
      </rPr>
      <t>Answers (</t>
    </r>
    <r>
      <rPr>
        <rFont val="Arial"/>
        <b/>
        <color theme="1"/>
        <sz val="9.0"/>
      </rPr>
      <t>output</t>
    </r>
    <r>
      <rPr>
        <rFont val="Arial"/>
        <color theme="1"/>
        <sz val="9.0"/>
      </rPr>
      <t>) is colored green</t>
    </r>
  </si>
  <si>
    <t>initial state vectors and Δt (input)</t>
  </si>
  <si>
    <t xml:space="preserve">the length of the initial state vectors </t>
  </si>
  <si>
    <t xml:space="preserve">their cross products </t>
  </si>
  <si>
    <t>Eccentricity</t>
  </si>
  <si>
    <t>--&gt; r_x</t>
  </si>
  <si>
    <r>
      <rPr>
        <rFont val="Arial"/>
        <color theme="1"/>
      </rPr>
      <t>r_0 = |</t>
    </r>
    <r>
      <rPr>
        <rFont val="Arial"/>
        <b/>
        <color theme="1"/>
      </rPr>
      <t>r_0</t>
    </r>
    <r>
      <rPr>
        <rFont val="Arial"/>
        <color theme="1"/>
      </rPr>
      <t>|</t>
    </r>
  </si>
  <si>
    <r>
      <rPr>
        <rFont val="Arial"/>
        <color theme="1"/>
      </rPr>
      <t xml:space="preserve">Vector </t>
    </r>
    <r>
      <rPr>
        <rFont val="Arial"/>
        <b/>
        <color theme="1"/>
      </rPr>
      <t>r_0</t>
    </r>
  </si>
  <si>
    <t>--&gt; r _y</t>
  </si>
  <si>
    <t>r_0 x v_0 =</t>
  </si>
  <si>
    <t xml:space="preserve">e = </t>
  </si>
  <si>
    <t>--&gt; r _z</t>
  </si>
  <si>
    <t>--&gt; v_x</t>
  </si>
  <si>
    <r>
      <rPr>
        <rFont val="Arial"/>
        <color theme="1"/>
      </rPr>
      <t>v_0 =|</t>
    </r>
    <r>
      <rPr>
        <rFont val="Arial"/>
        <b/>
        <color theme="1"/>
      </rPr>
      <t>v_0</t>
    </r>
    <r>
      <rPr>
        <rFont val="Arial"/>
        <color theme="1"/>
      </rPr>
      <t>|</t>
    </r>
  </si>
  <si>
    <r>
      <rPr>
        <rFont val="Arial"/>
        <color theme="1"/>
      </rPr>
      <t xml:space="preserve">Vector </t>
    </r>
    <r>
      <rPr>
        <rFont val="Arial"/>
        <b/>
        <color theme="1"/>
      </rPr>
      <t>v_0</t>
    </r>
  </si>
  <si>
    <t>--&gt; v_y</t>
  </si>
  <si>
    <r>
      <rPr>
        <rFont val="Arial"/>
        <color theme="1"/>
      </rPr>
      <t>h=</t>
    </r>
    <r>
      <rPr>
        <rFont val="Arial"/>
        <b/>
        <color theme="1"/>
      </rPr>
      <t xml:space="preserve">|r_0 </t>
    </r>
    <r>
      <rPr>
        <rFont val="Arial"/>
        <color theme="1"/>
      </rPr>
      <t>x</t>
    </r>
    <r>
      <rPr>
        <rFont val="Arial"/>
        <b/>
        <color theme="1"/>
      </rPr>
      <t xml:space="preserve"> v_0|</t>
    </r>
  </si>
  <si>
    <t>e=</t>
  </si>
  <si>
    <t>--&gt; v_z</t>
  </si>
  <si>
    <t>Δt =</t>
  </si>
  <si>
    <t>seconds</t>
  </si>
  <si>
    <t>v_r_0 =</t>
  </si>
  <si>
    <r>
      <rPr>
        <rFont val="Arial"/>
        <b/>
        <color theme="1"/>
      </rPr>
      <t xml:space="preserve">ALGORITHM 1: Finding Universal Variable χ from the given </t>
    </r>
    <r>
      <rPr>
        <rFont val="Arial"/>
        <b/>
        <color theme="1"/>
      </rPr>
      <t>r</t>
    </r>
    <r>
      <rPr>
        <rFont val="Arial"/>
        <b/>
        <color theme="1"/>
      </rPr>
      <t xml:space="preserve">_0 and </t>
    </r>
    <r>
      <rPr>
        <rFont val="Arial"/>
        <b/>
        <color theme="1"/>
      </rPr>
      <t>v</t>
    </r>
    <r>
      <rPr>
        <rFont val="Arial"/>
        <b/>
        <color theme="1"/>
      </rPr>
      <t>_0</t>
    </r>
  </si>
  <si>
    <t>alpha α =</t>
  </si>
  <si>
    <t>Iteration</t>
  </si>
  <si>
    <t>χ</t>
  </si>
  <si>
    <t>αχ^2</t>
  </si>
  <si>
    <t>S(αχ^2)**</t>
  </si>
  <si>
    <t>C(αχ^2)**</t>
  </si>
  <si>
    <t>f(χ)</t>
  </si>
  <si>
    <t>f'(χ)</t>
  </si>
  <si>
    <t>ratio</t>
  </si>
  <si>
    <t>10*</t>
  </si>
  <si>
    <t>* assume that χ and αχ^2 are found at the 10th iteration</t>
  </si>
  <si>
    <t>** Stumpff functions</t>
  </si>
  <si>
    <t>state vectors after Δt (output)</t>
  </si>
  <si>
    <t>Lagrange coefficients</t>
  </si>
  <si>
    <r>
      <rPr>
        <rFont val="Arial"/>
        <b/>
        <color theme="1"/>
        <sz val="11.0"/>
      </rPr>
      <t>r</t>
    </r>
    <r>
      <rPr>
        <rFont val="Arial"/>
        <color theme="1"/>
        <sz val="11.0"/>
      </rPr>
      <t xml:space="preserve"> =f*</t>
    </r>
    <r>
      <rPr>
        <rFont val="Arial"/>
        <b/>
        <color theme="1"/>
        <sz val="11.0"/>
      </rPr>
      <t>r</t>
    </r>
    <r>
      <rPr>
        <rFont val="Arial"/>
        <color theme="1"/>
        <sz val="11.0"/>
      </rPr>
      <t>_0+g*</t>
    </r>
    <r>
      <rPr>
        <rFont val="Arial"/>
        <b/>
        <color theme="1"/>
        <sz val="11.0"/>
      </rPr>
      <t>v</t>
    </r>
    <r>
      <rPr>
        <rFont val="Arial"/>
        <color theme="1"/>
        <sz val="11.0"/>
      </rPr>
      <t>_0</t>
    </r>
  </si>
  <si>
    <t xml:space="preserve">f = </t>
  </si>
  <si>
    <t>g =</t>
  </si>
  <si>
    <r>
      <rPr>
        <rFont val="Arial"/>
        <color theme="1"/>
        <sz val="12.0"/>
      </rPr>
      <t>vector</t>
    </r>
    <r>
      <rPr>
        <rFont val="Arial"/>
        <b/>
        <color theme="1"/>
        <sz val="12.0"/>
      </rPr>
      <t xml:space="preserve"> r </t>
    </r>
    <r>
      <rPr>
        <rFont val="Arial"/>
        <color theme="1"/>
        <sz val="12.0"/>
      </rPr>
      <t>=</t>
    </r>
  </si>
  <si>
    <r>
      <rPr>
        <rFont val="Arial"/>
        <color theme="1"/>
      </rPr>
      <t>r = |</t>
    </r>
    <r>
      <rPr>
        <rFont val="Arial"/>
        <b/>
        <color theme="1"/>
      </rPr>
      <t>r</t>
    </r>
    <r>
      <rPr>
        <rFont val="Arial"/>
        <color theme="1"/>
      </rPr>
      <t>| =</t>
    </r>
  </si>
  <si>
    <r>
      <rPr>
        <rFont val="Arial"/>
        <b/>
        <color rgb="FF000000"/>
        <sz val="11.0"/>
      </rPr>
      <t>v</t>
    </r>
    <r>
      <rPr>
        <rFont val="Arial"/>
        <color rgb="FF000000"/>
        <sz val="11.0"/>
      </rPr>
      <t xml:space="preserve"> =f_dot*</t>
    </r>
    <r>
      <rPr>
        <rFont val="Arial"/>
        <b/>
        <color rgb="FF000000"/>
        <sz val="11.0"/>
      </rPr>
      <t>r</t>
    </r>
    <r>
      <rPr>
        <rFont val="Arial"/>
        <color rgb="FF000000"/>
        <sz val="11.0"/>
      </rPr>
      <t>_0+g_dot*</t>
    </r>
    <r>
      <rPr>
        <rFont val="Arial"/>
        <b/>
        <color rgb="FF000000"/>
        <sz val="11.0"/>
      </rPr>
      <t>v</t>
    </r>
    <r>
      <rPr>
        <rFont val="Arial"/>
        <color rgb="FF000000"/>
        <sz val="11.0"/>
      </rPr>
      <t>_0</t>
    </r>
  </si>
  <si>
    <t>f_dot =</t>
  </si>
  <si>
    <t>g_dot =</t>
  </si>
  <si>
    <r>
      <rPr>
        <rFont val="Arial"/>
        <b val="0"/>
        <color theme="1"/>
        <sz val="12.0"/>
      </rPr>
      <t>vector</t>
    </r>
    <r>
      <rPr>
        <rFont val="Arial"/>
        <b/>
        <color theme="1"/>
        <sz val="12.0"/>
      </rPr>
      <t xml:space="preserve"> v </t>
    </r>
    <r>
      <rPr>
        <rFont val="Arial"/>
        <b val="0"/>
        <color theme="1"/>
        <sz val="12.0"/>
      </rPr>
      <t>=</t>
    </r>
  </si>
  <si>
    <r>
      <rPr>
        <rFont val="Arial"/>
        <color theme="1"/>
      </rPr>
      <t>v = |</t>
    </r>
    <r>
      <rPr>
        <rFont val="Arial"/>
        <b/>
        <color theme="1"/>
      </rPr>
      <t>v</t>
    </r>
    <r>
      <rPr>
        <rFont val="Arial"/>
        <color theme="1"/>
      </rPr>
      <t>| =</t>
    </r>
  </si>
  <si>
    <t>🤗</t>
  </si>
  <si>
    <t>Created by: Ahmad Salahuddin Mohd Harithuddin, Dept. of Aerospace Engineering, Universiti Putra Malaysia, May 2020</t>
  </si>
  <si>
    <t>Reference: 
1. Curtis, H. D., Orbital Mechanics for Engineering Students, Butterworth–Heinemann, Oxford, 2005, pp. 134-144.
2. Chobotov, V.A., Orbital Mechanics, AIAA Education Series, Reston VA , 2002, pp. 55-61.</t>
  </si>
  <si>
    <t>State Vectors (r and v) to Orbital Elements and Other Parameters</t>
  </si>
  <si>
    <t>How to do cross product</t>
  </si>
  <si>
    <t>the vectors (input)</t>
  </si>
  <si>
    <t>the length of the vectors (output)</t>
  </si>
  <si>
    <t>their cross products (output)</t>
  </si>
  <si>
    <r>
      <rPr>
        <rFont val="Arial"/>
        <color theme="1"/>
        <sz val="10.0"/>
      </rPr>
      <t xml:space="preserve">--&gt; </t>
    </r>
    <r>
      <rPr>
        <rFont val="Arial"/>
        <i/>
        <color theme="1"/>
        <sz val="10.0"/>
      </rPr>
      <t>a_x</t>
    </r>
  </si>
  <si>
    <r>
      <rPr>
        <rFont val="Arial"/>
        <i/>
        <color theme="1"/>
        <sz val="10.0"/>
      </rPr>
      <t>r = |</t>
    </r>
    <r>
      <rPr>
        <rFont val="Arial"/>
        <b/>
        <i/>
        <color theme="1"/>
        <sz val="10.0"/>
      </rPr>
      <t>r</t>
    </r>
    <r>
      <rPr>
        <rFont val="Arial"/>
        <i/>
        <color theme="1"/>
        <sz val="10.0"/>
      </rPr>
      <t>|=</t>
    </r>
  </si>
  <si>
    <r>
      <rPr>
        <rFont val="Arial"/>
        <color theme="1"/>
        <sz val="10.0"/>
      </rPr>
      <t xml:space="preserve">Vector </t>
    </r>
    <r>
      <rPr>
        <rFont val="Arial"/>
        <b/>
        <color theme="1"/>
        <sz val="10.0"/>
      </rPr>
      <t>r</t>
    </r>
  </si>
  <si>
    <r>
      <rPr>
        <rFont val="Arial"/>
        <color rgb="FF000000"/>
        <sz val="10.0"/>
      </rPr>
      <t xml:space="preserve">--&gt; </t>
    </r>
    <r>
      <rPr>
        <rFont val="Arial"/>
        <i/>
        <color rgb="FF000000"/>
        <sz val="10.0"/>
      </rPr>
      <t>a_y</t>
    </r>
  </si>
  <si>
    <t xml:space="preserve"> --&gt; h_i</t>
  </si>
  <si>
    <r>
      <rPr>
        <rFont val="Arial"/>
        <color rgb="FF000000"/>
        <sz val="10.0"/>
      </rPr>
      <t xml:space="preserve">--&gt; </t>
    </r>
    <r>
      <rPr>
        <rFont val="Arial"/>
        <i/>
        <color rgb="FF000000"/>
        <sz val="10.0"/>
      </rPr>
      <t>a_z</t>
    </r>
  </si>
  <si>
    <r>
      <rPr>
        <rFont val="Arial"/>
        <b/>
        <i/>
        <color theme="1"/>
        <sz val="10.0"/>
      </rPr>
      <t xml:space="preserve">h </t>
    </r>
    <r>
      <rPr>
        <rFont val="Arial"/>
        <i/>
        <color theme="1"/>
        <sz val="10.0"/>
      </rPr>
      <t xml:space="preserve">= </t>
    </r>
    <r>
      <rPr>
        <rFont val="Arial"/>
        <b/>
        <i/>
        <color theme="1"/>
        <sz val="10.0"/>
      </rPr>
      <t>r</t>
    </r>
    <r>
      <rPr>
        <rFont val="Arial"/>
        <i/>
        <color theme="1"/>
        <sz val="10.0"/>
      </rPr>
      <t xml:space="preserve"> x </t>
    </r>
    <r>
      <rPr>
        <rFont val="Arial"/>
        <b/>
        <i/>
        <color theme="1"/>
        <sz val="10.0"/>
      </rPr>
      <t xml:space="preserve">v </t>
    </r>
    <r>
      <rPr>
        <rFont val="Arial"/>
        <i/>
        <color theme="1"/>
        <sz val="10.0"/>
      </rPr>
      <t>=</t>
    </r>
  </si>
  <si>
    <t xml:space="preserve"> --&gt; h_y</t>
  </si>
  <si>
    <t xml:space="preserve"> --&gt; h_z</t>
  </si>
  <si>
    <r>
      <rPr>
        <rFont val="Arial"/>
        <color theme="1"/>
        <sz val="10.0"/>
      </rPr>
      <t xml:space="preserve">--&gt; </t>
    </r>
    <r>
      <rPr>
        <rFont val="Arial"/>
        <i/>
        <color theme="1"/>
        <sz val="10.0"/>
      </rPr>
      <t>b_x</t>
    </r>
  </si>
  <si>
    <r>
      <rPr>
        <rFont val="Arial"/>
        <i/>
        <color theme="1"/>
        <sz val="10.0"/>
      </rPr>
      <t>v =|</t>
    </r>
    <r>
      <rPr>
        <rFont val="Arial"/>
        <b/>
        <i/>
        <color theme="1"/>
        <sz val="10.0"/>
      </rPr>
      <t>v</t>
    </r>
    <r>
      <rPr>
        <rFont val="Arial"/>
        <i/>
        <color theme="1"/>
        <sz val="10.0"/>
      </rPr>
      <t>|=</t>
    </r>
  </si>
  <si>
    <r>
      <rPr>
        <rFont val="Arial"/>
        <color theme="1"/>
        <sz val="10.0"/>
      </rPr>
      <t xml:space="preserve">Vector </t>
    </r>
    <r>
      <rPr>
        <rFont val="Arial"/>
        <b/>
        <color theme="1"/>
        <sz val="10.0"/>
      </rPr>
      <t>v</t>
    </r>
  </si>
  <si>
    <r>
      <rPr>
        <rFont val="Arial"/>
        <color rgb="FF000000"/>
        <sz val="10.0"/>
      </rPr>
      <t xml:space="preserve">--&gt; </t>
    </r>
    <r>
      <rPr>
        <rFont val="Arial"/>
        <i/>
        <color rgb="FF000000"/>
        <sz val="10.0"/>
      </rPr>
      <t>b_y</t>
    </r>
  </si>
  <si>
    <r>
      <rPr>
        <rFont val="Arial"/>
        <color rgb="FF000000"/>
        <sz val="10.0"/>
      </rPr>
      <t xml:space="preserve">--&gt; </t>
    </r>
    <r>
      <rPr>
        <rFont val="Arial"/>
        <i/>
        <color rgb="FF000000"/>
        <sz val="10.0"/>
      </rPr>
      <t>b_z</t>
    </r>
  </si>
  <si>
    <t>h =</t>
  </si>
  <si>
    <t>vector form</t>
  </si>
  <si>
    <t>scalar form</t>
  </si>
  <si>
    <t>Orbital Energy</t>
  </si>
  <si>
    <t>eccentrcity</t>
  </si>
  <si>
    <r>
      <rPr>
        <rFont val="Arial"/>
        <b/>
        <color theme="1"/>
        <sz val="10.0"/>
      </rPr>
      <t>e=</t>
    </r>
    <r>
      <rPr>
        <rFont val="Arial"/>
        <b val="0"/>
        <color theme="1"/>
        <sz val="10.0"/>
      </rPr>
      <t>(</t>
    </r>
    <r>
      <rPr>
        <rFont val="Arial"/>
        <b/>
        <color theme="1"/>
        <sz val="10.0"/>
      </rPr>
      <t>v</t>
    </r>
    <r>
      <rPr>
        <rFont val="Arial"/>
        <b val="0"/>
        <color theme="1"/>
        <sz val="10.0"/>
      </rPr>
      <t>x</t>
    </r>
    <r>
      <rPr>
        <rFont val="Arial"/>
        <b/>
        <color theme="1"/>
        <sz val="10.0"/>
      </rPr>
      <t>h</t>
    </r>
    <r>
      <rPr>
        <rFont val="Arial"/>
        <b val="0"/>
        <color theme="1"/>
        <sz val="10.0"/>
      </rPr>
      <t>)</t>
    </r>
    <r>
      <rPr>
        <rFont val="Arial"/>
        <b/>
        <color theme="1"/>
        <sz val="10.0"/>
      </rPr>
      <t>/</t>
    </r>
    <r>
      <rPr>
        <rFont val="Arial"/>
        <b val="0"/>
        <color theme="1"/>
        <sz val="10.0"/>
      </rPr>
      <t>μ-</t>
    </r>
    <r>
      <rPr>
        <rFont val="Arial"/>
        <b/>
        <color theme="1"/>
        <sz val="10.0"/>
      </rPr>
      <t>r/</t>
    </r>
    <r>
      <rPr>
        <rFont val="Arial"/>
        <b val="0"/>
        <color theme="1"/>
        <sz val="10.0"/>
      </rPr>
      <t>r =</t>
    </r>
  </si>
  <si>
    <t>e =</t>
  </si>
  <si>
    <t xml:space="preserve">ε = </t>
  </si>
  <si>
    <t>semi-major axis</t>
  </si>
  <si>
    <t>radius of apogee</t>
  </si>
  <si>
    <t>radius of perigee</t>
  </si>
  <si>
    <t>a=</t>
  </si>
  <si>
    <r>
      <rPr>
        <rFont val="Arial"/>
        <color rgb="FF000000"/>
        <sz val="10.0"/>
      </rPr>
      <t xml:space="preserve">Node Line, </t>
    </r>
    <r>
      <rPr>
        <rFont val="Arial"/>
        <b/>
        <color rgb="FF000000"/>
        <sz val="10.0"/>
      </rPr>
      <t>N</t>
    </r>
  </si>
  <si>
    <t>K</t>
  </si>
  <si>
    <t>perp_velocity</t>
  </si>
  <si>
    <t>v_t</t>
  </si>
  <si>
    <t xml:space="preserve"> --&gt; N_x</t>
  </si>
  <si>
    <t xml:space="preserve"> --&gt; K_i</t>
  </si>
  <si>
    <t>radial velocity</t>
  </si>
  <si>
    <t>v_r</t>
  </si>
  <si>
    <t>N=</t>
  </si>
  <si>
    <t xml:space="preserve"> --&gt; N_y</t>
  </si>
  <si>
    <t xml:space="preserve"> --&gt; K_j</t>
  </si>
  <si>
    <t xml:space="preserve"> --&gt; N_z</t>
  </si>
  <si>
    <t xml:space="preserve"> --&gt; K_k</t>
  </si>
  <si>
    <t>inclination</t>
  </si>
  <si>
    <t>i</t>
  </si>
  <si>
    <t>argument of perigee</t>
  </si>
  <si>
    <t>ω</t>
  </si>
  <si>
    <t>right ascension of the ascending node</t>
  </si>
  <si>
    <t>Ω</t>
  </si>
  <si>
    <t xml:space="preserve">rad </t>
  </si>
  <si>
    <t>true anomaly</t>
  </si>
  <si>
    <t>θ</t>
  </si>
  <si>
    <t>Six Classical Orbital Elements</t>
  </si>
  <si>
    <t>a</t>
  </si>
  <si>
    <t>e</t>
  </si>
  <si>
    <t xml:space="preserve">Orbital Elements to State Vectors (r and v) </t>
  </si>
  <si>
    <t>h=</t>
  </si>
  <si>
    <t>km/s</t>
  </si>
  <si>
    <t>Ω</t>
  </si>
  <si>
    <t>Q_Xx</t>
  </si>
  <si>
    <t>{r} - xbar</t>
  </si>
  <si>
    <t>1st Matrix</t>
  </si>
  <si>
    <t>2nd Matrix</t>
  </si>
  <si>
    <t>{v} - xbar</t>
  </si>
  <si>
    <t>3rd Matrix</t>
  </si>
  <si>
    <t>1st*2nd</t>
  </si>
  <si>
    <t>Rx</t>
  </si>
  <si>
    <t>Vx</t>
  </si>
  <si>
    <t>LOCAL SIDEREAL TIME CALCULATOR</t>
  </si>
  <si>
    <t>Given date, local time and east longitude, find local sidereal time.</t>
  </si>
  <si>
    <t>INPUT</t>
  </si>
  <si>
    <t>Local Time to Universal Time Converter</t>
  </si>
  <si>
    <t>Date</t>
  </si>
  <si>
    <t>year</t>
  </si>
  <si>
    <t xml:space="preserve">Local Time </t>
  </si>
  <si>
    <t>hour</t>
  </si>
  <si>
    <t>month</t>
  </si>
  <si>
    <t>min</t>
  </si>
  <si>
    <t>day</t>
  </si>
  <si>
    <t>sec</t>
  </si>
  <si>
    <t>Universal Time</t>
  </si>
  <si>
    <t xml:space="preserve">hour </t>
  </si>
  <si>
    <t>minute</t>
  </si>
  <si>
    <t>second</t>
  </si>
  <si>
    <t>Local Time (GMT+8)</t>
  </si>
  <si>
    <t>East Longitude</t>
  </si>
  <si>
    <t>Latitude</t>
  </si>
  <si>
    <t>Altitude</t>
  </si>
  <si>
    <t>Universal Time UT in Hour</t>
  </si>
  <si>
    <t>hrs</t>
  </si>
  <si>
    <t>OUTPUT</t>
  </si>
  <si>
    <t>Step 1</t>
  </si>
  <si>
    <t>J_0</t>
  </si>
  <si>
    <t>Step 2</t>
  </si>
  <si>
    <t>T_0</t>
  </si>
  <si>
    <t>Step 3</t>
  </si>
  <si>
    <t>θ_G_0</t>
  </si>
  <si>
    <t>final θ_G_0</t>
  </si>
  <si>
    <t>Step 4</t>
  </si>
  <si>
    <t>θ_G</t>
  </si>
  <si>
    <t>Step 5</t>
  </si>
  <si>
    <t>θ after subtracting 360</t>
  </si>
  <si>
    <t>Sidereal Time</t>
  </si>
  <si>
    <t>hr</t>
  </si>
  <si>
    <t>SIDEREAL TO SIX ORBITAL ELEMENTS</t>
  </si>
  <si>
    <t>Local Sidereal Time, θ</t>
  </si>
  <si>
    <t>Altitude, H</t>
  </si>
  <si>
    <t>Latitude, Φ</t>
  </si>
  <si>
    <t>Slant Range</t>
  </si>
  <si>
    <t>Azimuth, A</t>
  </si>
  <si>
    <t>Elevation, a</t>
  </si>
  <si>
    <t>Range rate</t>
  </si>
  <si>
    <t>Azimuth Rate</t>
  </si>
  <si>
    <t>rad/s</t>
  </si>
  <si>
    <t>Elevation rate</t>
  </si>
  <si>
    <r>
      <rPr>
        <rFont val="Roboto Mono"/>
        <b/>
        <color rgb="FFFFFFFF"/>
        <sz val="9.0"/>
      </rPr>
      <t xml:space="preserve">Flattening factor, </t>
    </r>
    <r>
      <rPr>
        <rFont val="Roboto Mono"/>
        <b/>
        <i/>
        <color rgb="FFFFFFFF"/>
        <sz val="9.0"/>
      </rPr>
      <t>f</t>
    </r>
  </si>
  <si>
    <t>Angular Velocity</t>
  </si>
  <si>
    <t>I</t>
  </si>
  <si>
    <t>J</t>
  </si>
  <si>
    <t>Step 1:</t>
  </si>
  <si>
    <t>R</t>
  </si>
  <si>
    <t>r magnitude</t>
  </si>
  <si>
    <t>v magnitude</t>
  </si>
  <si>
    <t>vr</t>
  </si>
  <si>
    <t>Step 2:</t>
  </si>
  <si>
    <t>Topocentric Declination, δ</t>
  </si>
  <si>
    <t>hx</t>
  </si>
  <si>
    <t>km^2/s</t>
  </si>
  <si>
    <t>hy</t>
  </si>
  <si>
    <t>Step 3:</t>
  </si>
  <si>
    <t>Angular distance, h</t>
  </si>
  <si>
    <t>hz</t>
  </si>
  <si>
    <t>Topocentric right ascension, α</t>
  </si>
  <si>
    <t>h = sqrt(h.h)</t>
  </si>
  <si>
    <t>Step 4:</t>
  </si>
  <si>
    <t>Direction</t>
  </si>
  <si>
    <t>Nx</t>
  </si>
  <si>
    <t>Ny</t>
  </si>
  <si>
    <t>Step 5:</t>
  </si>
  <si>
    <r>
      <rPr>
        <rFont val="Roboto Mono"/>
        <color rgb="FFFFFFFF"/>
        <sz val="9.0"/>
      </rPr>
      <t>r</t>
    </r>
    <r>
      <rPr>
        <rFont val="Roboto Mono"/>
        <color rgb="FFFFFFFF"/>
        <sz val="9.0"/>
      </rPr>
      <t xml:space="preserve"> = </t>
    </r>
    <r>
      <rPr>
        <rFont val="Roboto Mono"/>
        <color rgb="FFFFFFFF"/>
        <sz val="9.0"/>
      </rPr>
      <t>R</t>
    </r>
    <r>
      <rPr>
        <rFont val="Roboto Mono"/>
        <color rgb="FFFFFFFF"/>
        <sz val="9.0"/>
      </rPr>
      <t xml:space="preserve"> + ρ</t>
    </r>
    <r>
      <rPr>
        <rFont val="Roboto Mono"/>
        <color rgb="FFFFFFFF"/>
        <sz val="9.0"/>
      </rPr>
      <t>ῥ</t>
    </r>
  </si>
  <si>
    <t>Nz</t>
  </si>
  <si>
    <t>N = sqrt(N.N)</t>
  </si>
  <si>
    <t>right ascension, Ω</t>
  </si>
  <si>
    <t>Step 6:</t>
  </si>
  <si>
    <t>R_Dot = Ω x R</t>
  </si>
  <si>
    <t>ex</t>
  </si>
  <si>
    <t>ey</t>
  </si>
  <si>
    <t>Step 7:</t>
  </si>
  <si>
    <t>Declination rate, δ_dot</t>
  </si>
  <si>
    <t>ez</t>
  </si>
  <si>
    <t>Step 8:</t>
  </si>
  <si>
    <t>Right ascension rate, α_dot</t>
  </si>
  <si>
    <t>Step 9:</t>
  </si>
  <si>
    <t>ῥ_dot : i</t>
  </si>
  <si>
    <t>argument of periapsis, ω</t>
  </si>
  <si>
    <t>j</t>
  </si>
  <si>
    <t>k</t>
  </si>
  <si>
    <t xml:space="preserve">Step 10: </t>
  </si>
  <si>
    <t>v: i</t>
  </si>
  <si>
    <t>ra</t>
  </si>
  <si>
    <t>rp</t>
  </si>
  <si>
    <t>Semi Major Axis, a</t>
  </si>
  <si>
    <t>Six Classical 
Orbital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</si>
</sst>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00000"/>
    <numFmt numFmtId="165" formatCode="#,#00"/>
    <numFmt numFmtId="166" formatCode="h:mm:ss am/pm"/>
    <numFmt numFmtId="167" formatCode="0.00000"/>
    <numFmt numFmtId="168" formatCode="0.000"/>
    <numFmt numFmtId="169" formatCode="0.000000"/>
    <numFmt numFmtId="170" formatCode="0.0000"/>
    <numFmt numFmtId="171" formatCode="#,##0.00000"/>
    <numFmt numFmtId="172" formatCode="0.000E+00"/>
    <numFmt numFmtId="173" formatCode="0.0"/>
  </numFmts>
  <fonts count="62">
    <font>
      <sz val="11.0"/>
      <color theme="1"/>
      <name val="Arial"/>
    </font>
    <font>
      <sz val="11.0"/>
      <color rgb="FFC00000"/>
      <name val="Calibri"/>
    </font>
    <font>
      <sz val="20.0"/>
      <color theme="1"/>
      <name val="Calibri"/>
    </font>
    <font>
      <sz val="18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444444"/>
      <name val="Calibri"/>
    </font>
    <font>
      <sz val="11.0"/>
      <color theme="1"/>
      <name val="Courier New"/>
    </font>
    <font>
      <sz val="9.0"/>
      <color theme="1"/>
      <name val="Courier New"/>
    </font>
    <font/>
    <font>
      <b/>
      <sz val="9.0"/>
      <color theme="1"/>
      <name val="Courier New"/>
    </font>
    <font>
      <b/>
      <sz val="11.0"/>
      <color rgb="FF444444"/>
      <name val="Calibri"/>
    </font>
    <font>
      <sz val="22.0"/>
      <color theme="1"/>
      <name val="Calibri"/>
    </font>
    <font>
      <i/>
      <sz val="10.0"/>
      <color theme="1"/>
      <name val="Calibri"/>
    </font>
    <font>
      <i/>
      <sz val="9.0"/>
      <color theme="1"/>
      <name val="Calibri"/>
    </font>
    <font>
      <sz val="11.0"/>
      <color theme="1"/>
    </font>
    <font>
      <color theme="1"/>
      <name val="Arial"/>
    </font>
    <font>
      <b/>
      <color theme="1"/>
      <name val="Arial"/>
    </font>
    <font>
      <sz val="9.0"/>
      <color theme="1"/>
      <name val="Arial"/>
    </font>
    <font>
      <b/>
      <color theme="1"/>
      <name val="Roboto"/>
    </font>
    <font>
      <color rgb="FF000000"/>
      <name val="Roboto"/>
    </font>
    <font>
      <b/>
      <color rgb="FF000000"/>
      <name val="Roboto"/>
    </font>
    <font>
      <sz val="8.0"/>
      <color theme="1"/>
      <name val="Arial"/>
    </font>
    <font>
      <b/>
      <sz val="11.0"/>
      <color rgb="FF000000"/>
      <name val="Arial"/>
    </font>
    <font>
      <sz val="12.0"/>
      <color theme="1"/>
      <name val="Arial"/>
    </font>
    <font>
      <sz val="11.0"/>
      <color rgb="FF000000"/>
      <name val="Arial"/>
    </font>
    <font>
      <sz val="11.0"/>
      <color rgb="FF000000"/>
      <name val="Inconsolata"/>
    </font>
    <font>
      <b/>
      <sz val="12.0"/>
      <color theme="1"/>
      <name val="Arial"/>
    </font>
    <font>
      <sz val="18.0"/>
      <color theme="1"/>
      <name val="Arial"/>
    </font>
    <font>
      <i/>
      <sz val="7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Roboto"/>
    </font>
    <font>
      <b/>
      <sz val="10.0"/>
      <color theme="1"/>
      <name val="Arial"/>
    </font>
    <font>
      <i/>
      <sz val="10.0"/>
      <color theme="1"/>
      <name val="Arial"/>
    </font>
    <font>
      <b/>
      <sz val="10.0"/>
      <color rgb="FF000000"/>
      <name val="Arial"/>
    </font>
    <font>
      <i/>
      <sz val="10.0"/>
      <color rgb="FF000000"/>
      <name val="Arial"/>
    </font>
    <font>
      <sz val="10.0"/>
      <color rgb="FF000000"/>
      <name val="Calibri"/>
    </font>
    <font>
      <b/>
      <sz val="8.0"/>
      <color rgb="FF000000"/>
      <name val="Arial"/>
    </font>
    <font>
      <color theme="1"/>
      <name val="Roboto Mono"/>
    </font>
    <font>
      <b/>
      <sz val="18.0"/>
      <color rgb="FFF3F3F3"/>
      <name val="Roboto Mono"/>
    </font>
    <font>
      <sz val="9.0"/>
      <color theme="1"/>
      <name val="Roboto Mono"/>
    </font>
    <font>
      <b/>
      <sz val="14.0"/>
      <color rgb="FFFFFFFF"/>
      <name val="Roboto Mono"/>
    </font>
    <font>
      <b/>
      <color rgb="FFFFFFFF"/>
      <name val="Roboto Mono"/>
    </font>
    <font>
      <b/>
      <color theme="1"/>
      <name val="Calibri"/>
    </font>
    <font>
      <b/>
      <sz val="9.0"/>
      <color rgb="FFFFFFFF"/>
      <name val="Roboto Mono"/>
    </font>
    <font>
      <sz val="9.0"/>
      <color rgb="FF000000"/>
      <name val="Roboto Mono"/>
    </font>
    <font>
      <i/>
      <color rgb="FF434343"/>
      <name val="Calibri"/>
    </font>
    <font>
      <color rgb="FFFFFFFF"/>
      <name val="Calibri"/>
    </font>
    <font>
      <i/>
      <color rgb="FF434343"/>
      <name val="Roboto Mono"/>
    </font>
    <font>
      <b/>
      <color theme="1"/>
      <name val="Roboto Mono"/>
    </font>
    <font>
      <i/>
      <color theme="1"/>
      <name val="Calibri"/>
    </font>
    <font>
      <sz val="9.0"/>
      <color theme="0"/>
      <name val="Roboto Mono"/>
    </font>
    <font>
      <b/>
      <sz val="9.0"/>
      <color theme="1"/>
      <name val="Roboto Mono"/>
    </font>
    <font>
      <sz val="9.0"/>
      <color theme="1"/>
      <name val="Calibri"/>
    </font>
    <font>
      <sz val="9.0"/>
      <color rgb="FFFFFFFF"/>
      <name val="Roboto Mono"/>
    </font>
    <font>
      <sz val="9.0"/>
      <color rgb="FF006100"/>
      <name val="Roboto Mono"/>
    </font>
    <font>
      <i/>
      <sz val="9.0"/>
      <color rgb="FF404040"/>
      <name val="Roboto Mono"/>
    </font>
    <font>
      <color rgb="FFFFFFFF"/>
      <name val="Roboto Mono"/>
    </font>
    <font>
      <b/>
      <sz val="12.0"/>
      <color rgb="FFF2F2F2"/>
      <name val="Roboto Mono"/>
    </font>
    <font>
      <b/>
      <sz val="9.0"/>
      <color rgb="FF006100"/>
      <name val="Roboto Mono"/>
    </font>
  </fonts>
  <fills count="4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B7B7B7"/>
        <bgColor rgb="FFB7B7B7"/>
      </patternFill>
    </fill>
    <fill>
      <patternFill patternType="solid">
        <fgColor rgb="FFFEB929"/>
        <bgColor rgb="FFFEB929"/>
      </patternFill>
    </fill>
    <fill>
      <patternFill patternType="solid">
        <fgColor rgb="FFC0DE00"/>
        <bgColor rgb="FFC0DE00"/>
      </patternFill>
    </fill>
    <fill>
      <patternFill patternType="solid">
        <fgColor rgb="FFF5959C"/>
        <bgColor rgb="FFF5959C"/>
      </patternFill>
    </fill>
    <fill>
      <patternFill patternType="solid">
        <fgColor theme="6"/>
        <bgColor theme="6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DE49A"/>
        <bgColor rgb="FFFDE49A"/>
      </patternFill>
    </fill>
    <fill>
      <patternFill patternType="solid">
        <fgColor rgb="FFD9E6FC"/>
        <bgColor rgb="FFD9E6FC"/>
      </patternFill>
    </fill>
    <fill>
      <patternFill patternType="solid">
        <fgColor rgb="FF8FD7DC"/>
        <bgColor rgb="FF8FD7DC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CC0000"/>
        <bgColor rgb="FFCC0000"/>
      </patternFill>
    </fill>
    <fill>
      <patternFill patternType="solid">
        <fgColor rgb="FFE76200"/>
        <bgColor rgb="FFE76200"/>
      </patternFill>
    </fill>
    <fill>
      <patternFill patternType="solid">
        <fgColor theme="7"/>
        <bgColor theme="7"/>
      </patternFill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CECEC"/>
        <bgColor rgb="FFECECEC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B45F06"/>
        <bgColor rgb="FFB45F06"/>
      </patternFill>
    </fill>
    <fill>
      <patternFill patternType="solid">
        <fgColor rgb="FFD1822F"/>
        <bgColor rgb="FFD1822F"/>
      </patternFill>
    </fill>
    <fill>
      <patternFill patternType="solid">
        <fgColor rgb="FF274E13"/>
        <bgColor rgb="FF274E13"/>
      </patternFill>
    </fill>
    <fill>
      <patternFill patternType="solid">
        <fgColor rgb="FFC6EFCE"/>
        <bgColor rgb="FFC6EFCE"/>
      </patternFill>
    </fill>
    <fill>
      <patternFill patternType="solid">
        <fgColor rgb="FFEDEDED"/>
        <bgColor rgb="FFEDEDED"/>
      </patternFill>
    </fill>
    <fill>
      <patternFill patternType="solid">
        <fgColor rgb="FFFFC000"/>
        <bgColor rgb="FFFFC000"/>
      </patternFill>
    </fill>
    <fill>
      <patternFill patternType="solid">
        <fgColor rgb="FFA9D08E"/>
        <bgColor rgb="FFA9D08E"/>
      </patternFill>
    </fill>
    <fill>
      <patternFill patternType="solid">
        <fgColor rgb="FF38761D"/>
        <bgColor rgb="FF38761D"/>
      </patternFill>
    </fill>
    <fill>
      <patternFill patternType="solid">
        <fgColor rgb="FFE03323"/>
        <bgColor rgb="FFE03323"/>
      </patternFill>
    </fill>
    <fill>
      <patternFill patternType="solid">
        <fgColor rgb="FFCFE2F3"/>
        <bgColor rgb="FFCFE2F3"/>
      </patternFill>
    </fill>
  </fills>
  <borders count="6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theme="8"/>
      </top>
    </border>
    <border>
      <left style="thin">
        <color rgb="FF000000"/>
      </left>
      <right style="thin">
        <color theme="8"/>
      </right>
      <top style="thin">
        <color theme="8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theme="8"/>
      </left>
    </border>
    <border>
      <left style="thin">
        <color rgb="FF000000"/>
      </left>
      <right style="thin">
        <color theme="8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theme="8"/>
      </bottom>
    </border>
    <border>
      <left style="thin">
        <color rgb="FF000000"/>
      </left>
      <right style="thin">
        <color theme="8"/>
      </right>
      <top style="thin">
        <color rgb="FF000000"/>
      </top>
    </border>
    <border>
      <top style="thin">
        <color theme="8"/>
      </top>
    </border>
    <border>
      <left/>
      <right/>
      <top/>
    </border>
    <border>
      <left/>
      <right/>
    </border>
    <border>
      <left/>
      <right/>
      <bottom/>
    </border>
    <border>
      <left style="hair">
        <color rgb="FF434343"/>
      </left>
      <top style="hair">
        <color rgb="FF434343"/>
      </top>
    </border>
    <border>
      <top style="hair">
        <color rgb="FF434343"/>
      </top>
    </border>
    <border>
      <right style="hair">
        <color rgb="FF434343"/>
      </right>
      <top style="hair">
        <color rgb="FF434343"/>
      </top>
    </border>
    <border>
      <left style="hair">
        <color rgb="FF434343"/>
      </left>
    </border>
    <border>
      <right style="hair">
        <color rgb="FF434343"/>
      </right>
    </border>
    <border>
      <left style="hair">
        <color rgb="FF434343"/>
      </left>
      <bottom style="hair">
        <color rgb="FF434343"/>
      </bottom>
    </border>
    <border>
      <bottom style="hair">
        <color rgb="FF434343"/>
      </bottom>
    </border>
    <border>
      <right style="hair">
        <color rgb="FF434343"/>
      </right>
      <bottom style="hair">
        <color rgb="FF434343"/>
      </bottom>
    </border>
  </borders>
  <cellStyleXfs count="1">
    <xf borderId="0" fillId="0" fontId="0" numFmtId="0" applyAlignment="1" applyFont="1"/>
  </cellStyleXfs>
  <cellXfs count="3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1" fillId="2" fontId="6" numFmtId="0" xfId="0" applyBorder="1" applyFill="1" applyFont="1"/>
    <xf borderId="1" fillId="3" fontId="4" numFmtId="0" xfId="0" applyBorder="1" applyFill="1" applyFont="1"/>
    <xf borderId="1" fillId="2" fontId="6" numFmtId="164" xfId="0" applyBorder="1" applyFont="1" applyNumberFormat="1"/>
    <xf borderId="1" fillId="0" fontId="6" numFmtId="0" xfId="0" applyBorder="1" applyFont="1"/>
    <xf borderId="1" fillId="0" fontId="6" numFmtId="164" xfId="0" applyBorder="1" applyFont="1" applyNumberFormat="1"/>
    <xf borderId="1" fillId="4" fontId="6" numFmtId="164" xfId="0" applyBorder="1" applyFill="1" applyFont="1" applyNumberFormat="1"/>
    <xf borderId="1" fillId="4" fontId="6" numFmtId="0" xfId="0" applyBorder="1" applyFont="1"/>
    <xf borderId="1" fillId="4" fontId="7" numFmtId="0" xfId="0" applyAlignment="1" applyBorder="1" applyFont="1">
      <alignment shrinkToFit="0" wrapText="1"/>
    </xf>
    <xf borderId="2" fillId="4" fontId="6" numFmtId="0" xfId="0" applyBorder="1" applyFont="1"/>
    <xf borderId="3" fillId="5" fontId="6" numFmtId="0" xfId="0" applyBorder="1" applyFill="1" applyFont="1"/>
    <xf borderId="4" fillId="5" fontId="6" numFmtId="0" xfId="0" applyBorder="1" applyFont="1"/>
    <xf borderId="5" fillId="5" fontId="6" numFmtId="0" xfId="0" applyBorder="1" applyFont="1"/>
    <xf borderId="0" fillId="0" fontId="6" numFmtId="0" xfId="0" applyFont="1"/>
    <xf borderId="6" fillId="5" fontId="6" numFmtId="0" xfId="0" applyBorder="1" applyFont="1"/>
    <xf borderId="2" fillId="5" fontId="6" numFmtId="0" xfId="0" applyBorder="1" applyFont="1"/>
    <xf borderId="7" fillId="5" fontId="6" numFmtId="0" xfId="0" applyBorder="1" applyFont="1"/>
    <xf borderId="0" fillId="0" fontId="8" numFmtId="0" xfId="0" applyFont="1"/>
    <xf borderId="8" fillId="0" fontId="9" numFmtId="0" xfId="0" applyAlignment="1" applyBorder="1" applyFont="1">
      <alignment horizontal="center" shrinkToFit="0" wrapText="1"/>
    </xf>
    <xf borderId="9" fillId="0" fontId="10" numFmtId="0" xfId="0" applyBorder="1" applyFont="1"/>
    <xf borderId="10" fillId="0" fontId="11" numFmtId="0" xfId="0" applyBorder="1" applyFont="1"/>
    <xf borderId="11" fillId="0" fontId="11" numFmtId="0" xfId="0" applyBorder="1" applyFont="1"/>
    <xf borderId="12" fillId="0" fontId="10" numFmtId="0" xfId="0" applyBorder="1" applyFont="1"/>
    <xf borderId="13" fillId="0" fontId="10" numFmtId="0" xfId="0" applyBorder="1" applyFont="1"/>
    <xf borderId="14" fillId="0" fontId="9" numFmtId="0" xfId="0" applyBorder="1" applyFont="1"/>
    <xf borderId="15" fillId="6" fontId="9" numFmtId="0" xfId="0" applyBorder="1" applyFill="1" applyFont="1"/>
    <xf borderId="16" fillId="0" fontId="9" numFmtId="0" xfId="0" applyAlignment="1" applyBorder="1" applyFont="1">
      <alignment horizontal="center" shrinkToFit="0" wrapText="1"/>
    </xf>
    <xf borderId="17" fillId="0" fontId="10" numFmtId="0" xfId="0" applyBorder="1" applyFont="1"/>
    <xf borderId="18" fillId="0" fontId="11" numFmtId="0" xfId="0" applyBorder="1" applyFont="1"/>
    <xf borderId="19" fillId="0" fontId="11" numFmtId="0" xfId="0" applyBorder="1" applyFont="1"/>
    <xf borderId="20" fillId="3" fontId="4" numFmtId="0" xfId="0" applyBorder="1" applyFont="1"/>
    <xf borderId="21" fillId="3" fontId="6" numFmtId="0" xfId="0" applyBorder="1" applyFont="1"/>
    <xf borderId="22" fillId="3" fontId="6" numFmtId="0" xfId="0" applyBorder="1" applyFont="1"/>
    <xf borderId="8" fillId="0" fontId="6" numFmtId="0" xfId="0" applyBorder="1" applyFont="1"/>
    <xf borderId="23" fillId="0" fontId="6" numFmtId="0" xfId="0" applyBorder="1" applyFont="1"/>
    <xf borderId="9" fillId="0" fontId="6" numFmtId="0" xfId="0" applyBorder="1" applyFont="1"/>
    <xf borderId="16" fillId="0" fontId="4" numFmtId="0" xfId="0" applyBorder="1" applyFont="1"/>
    <xf borderId="17" fillId="0" fontId="6" numFmtId="0" xfId="0" applyBorder="1" applyFont="1"/>
    <xf borderId="16" fillId="0" fontId="7" numFmtId="0" xfId="0" applyAlignment="1" applyBorder="1" applyFont="1">
      <alignment shrinkToFit="0" wrapText="1"/>
    </xf>
    <xf borderId="24" fillId="2" fontId="6" numFmtId="0" xfId="0" applyBorder="1" applyFont="1"/>
    <xf borderId="16" fillId="0" fontId="6" numFmtId="0" xfId="0" applyAlignment="1" applyBorder="1" applyFont="1">
      <alignment shrinkToFit="0" wrapText="1"/>
    </xf>
    <xf borderId="25" fillId="5" fontId="6" numFmtId="0" xfId="0" applyBorder="1" applyFont="1"/>
    <xf borderId="26" fillId="2" fontId="6" numFmtId="0" xfId="0" applyBorder="1" applyFont="1"/>
    <xf borderId="27" fillId="2" fontId="6" numFmtId="0" xfId="0" applyBorder="1" applyFont="1"/>
    <xf borderId="16" fillId="0" fontId="6" numFmtId="0" xfId="0" applyBorder="1" applyFont="1"/>
    <xf borderId="28" fillId="5" fontId="6" numFmtId="0" xfId="0" applyBorder="1" applyFont="1"/>
    <xf borderId="29" fillId="5" fontId="6" numFmtId="0" xfId="0" applyBorder="1" applyFont="1"/>
    <xf borderId="2" fillId="7" fontId="6" numFmtId="0" xfId="0" applyBorder="1" applyFill="1" applyFont="1"/>
    <xf borderId="12" fillId="0" fontId="4" numFmtId="0" xfId="0" applyBorder="1" applyFont="1"/>
    <xf borderId="30" fillId="4" fontId="6" numFmtId="0" xfId="0" applyBorder="1" applyFont="1"/>
    <xf borderId="31" fillId="0" fontId="6" numFmtId="0" xfId="0" applyBorder="1" applyFont="1"/>
    <xf borderId="13" fillId="0" fontId="6" numFmtId="0" xfId="0" applyBorder="1" applyFont="1"/>
    <xf borderId="12" fillId="0" fontId="12" numFmtId="0" xfId="0" applyAlignment="1" applyBorder="1" applyFont="1">
      <alignment shrinkToFit="0" wrapText="1"/>
    </xf>
    <xf borderId="0" fillId="0" fontId="6" numFmtId="11" xfId="0" applyFont="1" applyNumberFormat="1"/>
    <xf borderId="0" fillId="0" fontId="13" numFmtId="0" xfId="0" applyFont="1"/>
    <xf borderId="2" fillId="8" fontId="6" numFmtId="0" xfId="0" applyBorder="1" applyFill="1" applyFont="1"/>
    <xf borderId="0" fillId="0" fontId="14" numFmtId="0" xfId="0" applyAlignment="1" applyFont="1">
      <alignment horizontal="left"/>
    </xf>
    <xf borderId="2" fillId="9" fontId="6" numFmtId="0" xfId="0" applyBorder="1" applyFill="1" applyFont="1"/>
    <xf borderId="1" fillId="10" fontId="6" numFmtId="164" xfId="0" applyBorder="1" applyFill="1" applyFont="1" applyNumberFormat="1"/>
    <xf borderId="2" fillId="11" fontId="6" numFmtId="164" xfId="0" applyBorder="1" applyFill="1" applyFont="1" applyNumberFormat="1"/>
    <xf borderId="2" fillId="11" fontId="6" numFmtId="0" xfId="0" applyBorder="1" applyFont="1"/>
    <xf borderId="0" fillId="0" fontId="15" numFmtId="0" xfId="0" applyAlignment="1" applyFont="1">
      <alignment horizontal="right"/>
    </xf>
    <xf borderId="0" fillId="0" fontId="16" numFmtId="0" xfId="0" applyAlignment="1" applyFont="1">
      <alignment horizontal="left"/>
    </xf>
    <xf borderId="0" fillId="0" fontId="17" numFmtId="0" xfId="0" applyAlignment="1" applyFont="1">
      <alignment vertical="bottom"/>
    </xf>
    <xf borderId="8" fillId="12" fontId="18" numFmtId="0" xfId="0" applyBorder="1" applyFill="1" applyFont="1"/>
    <xf borderId="23" fillId="12" fontId="17" numFmtId="0" xfId="0" applyBorder="1" applyFont="1"/>
    <xf borderId="9" fillId="12" fontId="17" numFmtId="0" xfId="0" applyBorder="1" applyFont="1"/>
    <xf borderId="32" fillId="0" fontId="17" numFmtId="0" xfId="0" applyAlignment="1" applyBorder="1" applyFont="1">
      <alignment vertical="bottom"/>
    </xf>
    <xf borderId="33" fillId="0" fontId="10" numFmtId="0" xfId="0" applyBorder="1" applyFont="1"/>
    <xf borderId="1" fillId="0" fontId="17" numFmtId="0" xfId="0" applyAlignment="1" applyBorder="1" applyFont="1">
      <alignment horizontal="right" vertical="bottom"/>
    </xf>
    <xf borderId="0" fillId="0" fontId="18" numFmtId="0" xfId="0" applyFont="1"/>
    <xf borderId="0" fillId="13" fontId="19" numFmtId="0" xfId="0" applyFill="1" applyFont="1"/>
    <xf borderId="17" fillId="0" fontId="17" numFmtId="0" xfId="0" applyBorder="1" applyFont="1"/>
    <xf borderId="0" fillId="14" fontId="19" numFmtId="0" xfId="0" applyFill="1" applyFont="1"/>
    <xf borderId="0" fillId="14" fontId="17" numFmtId="0" xfId="0" applyFont="1"/>
    <xf borderId="16" fillId="0" fontId="17" numFmtId="0" xfId="0" applyBorder="1" applyFont="1"/>
    <xf borderId="34" fillId="0" fontId="20" numFmtId="0" xfId="0" applyAlignment="1" applyBorder="1" applyFont="1">
      <alignment horizontal="center" vertical="bottom"/>
    </xf>
    <xf borderId="35" fillId="0" fontId="10" numFmtId="0" xfId="0" applyBorder="1" applyFont="1"/>
    <xf borderId="36" fillId="0" fontId="10" numFmtId="0" xfId="0" applyBorder="1" applyFont="1"/>
    <xf borderId="37" fillId="0" fontId="20" numFmtId="0" xfId="0" applyAlignment="1" applyBorder="1" applyFont="1">
      <alignment horizontal="center" vertical="bottom"/>
    </xf>
    <xf borderId="34" fillId="0" fontId="17" numFmtId="0" xfId="0" applyAlignment="1" applyBorder="1" applyFont="1">
      <alignment vertical="bottom"/>
    </xf>
    <xf borderId="35" fillId="0" fontId="17" numFmtId="0" xfId="0" applyAlignment="1" applyBorder="1" applyFont="1">
      <alignment vertical="bottom"/>
    </xf>
    <xf borderId="36" fillId="0" fontId="17" numFmtId="0" xfId="0" applyAlignment="1" applyBorder="1" applyFont="1">
      <alignment vertical="bottom"/>
    </xf>
    <xf borderId="37" fillId="0" fontId="17" numFmtId="0" xfId="0" applyAlignment="1" applyBorder="1" applyFont="1">
      <alignment vertical="bottom"/>
    </xf>
    <xf borderId="37" fillId="0" fontId="17" numFmtId="0" xfId="0" applyBorder="1" applyFont="1"/>
    <xf borderId="36" fillId="0" fontId="17" numFmtId="0" xfId="0" applyBorder="1" applyFont="1"/>
    <xf borderId="16" fillId="0" fontId="17" numFmtId="0" xfId="0" applyAlignment="1" applyBorder="1" applyFont="1">
      <alignment vertical="bottom"/>
    </xf>
    <xf borderId="0" fillId="13" fontId="17" numFmtId="0" xfId="0" applyAlignment="1" applyFont="1">
      <alignment horizontal="right" vertical="bottom"/>
    </xf>
    <xf borderId="38" fillId="0" fontId="17" numFmtId="0" xfId="0" applyAlignment="1" applyBorder="1" applyFont="1">
      <alignment vertical="bottom"/>
    </xf>
    <xf borderId="39" fillId="0" fontId="17" numFmtId="0" xfId="0" applyAlignment="1" applyBorder="1" applyFont="1">
      <alignment vertical="bottom"/>
    </xf>
    <xf borderId="0" fillId="15" fontId="17" numFmtId="0" xfId="0" applyAlignment="1" applyFill="1" applyFont="1">
      <alignment horizontal="right" vertical="bottom"/>
    </xf>
    <xf borderId="38" fillId="15" fontId="17" numFmtId="0" xfId="0" applyAlignment="1" applyBorder="1" applyFont="1">
      <alignment horizontal="right" vertical="bottom"/>
    </xf>
    <xf borderId="39" fillId="0" fontId="17" numFmtId="0" xfId="0" applyBorder="1" applyFont="1"/>
    <xf borderId="38" fillId="15" fontId="17" numFmtId="0" xfId="0" applyBorder="1" applyFont="1"/>
    <xf borderId="38" fillId="5" fontId="21" numFmtId="0" xfId="0" applyAlignment="1" applyBorder="1" applyFont="1">
      <alignment vertical="bottom"/>
    </xf>
    <xf borderId="39" fillId="0" fontId="18" numFmtId="0" xfId="0" applyAlignment="1" applyBorder="1" applyFont="1">
      <alignment vertical="bottom"/>
    </xf>
    <xf borderId="39" fillId="0" fontId="18" numFmtId="0" xfId="0" applyAlignment="1" applyBorder="1" applyFont="1">
      <alignment horizontal="right"/>
    </xf>
    <xf borderId="38" fillId="0" fontId="17" numFmtId="0" xfId="0" applyBorder="1" applyFont="1"/>
    <xf borderId="39" fillId="0" fontId="17" numFmtId="0" xfId="0" applyAlignment="1" applyBorder="1" applyFont="1">
      <alignment shrinkToFit="0" vertical="bottom" wrapText="1"/>
    </xf>
    <xf borderId="39" fillId="0" fontId="17" numFmtId="0" xfId="0" applyAlignment="1" applyBorder="1" applyFont="1">
      <alignment horizontal="right"/>
    </xf>
    <xf borderId="40" fillId="0" fontId="17" numFmtId="0" xfId="0" applyBorder="1" applyFont="1"/>
    <xf borderId="41" fillId="16" fontId="17" numFmtId="0" xfId="0" applyBorder="1" applyFill="1" applyFont="1"/>
    <xf borderId="18" fillId="0" fontId="17" numFmtId="0" xfId="0" applyBorder="1" applyFont="1"/>
    <xf borderId="42" fillId="0" fontId="17" numFmtId="0" xfId="0" applyBorder="1" applyFont="1"/>
    <xf borderId="41" fillId="0" fontId="17" numFmtId="0" xfId="0" applyBorder="1" applyFont="1"/>
    <xf borderId="0" fillId="17" fontId="17" numFmtId="0" xfId="0" applyFill="1" applyFont="1"/>
    <xf borderId="43" fillId="18" fontId="18" numFmtId="0" xfId="0" applyBorder="1" applyFill="1" applyFont="1"/>
    <xf borderId="44" fillId="18" fontId="17" numFmtId="0" xfId="0" applyBorder="1" applyFont="1"/>
    <xf borderId="33" fillId="18" fontId="17" numFmtId="0" xfId="0" applyBorder="1" applyFont="1"/>
    <xf borderId="0" fillId="15" fontId="17" numFmtId="0" xfId="0" applyFont="1"/>
    <xf borderId="37" fillId="0" fontId="18" numFmtId="0" xfId="0" applyBorder="1" applyFont="1"/>
    <xf borderId="35" fillId="0" fontId="18" numFmtId="0" xfId="0" applyBorder="1" applyFont="1"/>
    <xf borderId="35" fillId="5" fontId="22" numFmtId="0" xfId="0" applyBorder="1" applyFont="1"/>
    <xf borderId="36" fillId="0" fontId="18" numFmtId="0" xfId="0" applyBorder="1" applyFont="1"/>
    <xf borderId="0" fillId="0" fontId="17" numFmtId="0" xfId="0" applyFont="1"/>
    <xf borderId="42" fillId="0" fontId="17" numFmtId="0" xfId="0" applyAlignment="1" applyBorder="1" applyFont="1">
      <alignment horizontal="right"/>
    </xf>
    <xf borderId="41" fillId="15" fontId="17" numFmtId="0" xfId="0" applyBorder="1" applyFont="1"/>
    <xf borderId="0" fillId="0" fontId="23" numFmtId="0" xfId="0" applyFont="1"/>
    <xf borderId="8" fillId="5" fontId="24" numFmtId="0" xfId="0" applyBorder="1" applyFont="1"/>
    <xf borderId="23" fillId="0" fontId="17" numFmtId="0" xfId="0" applyBorder="1" applyFont="1"/>
    <xf borderId="9" fillId="0" fontId="17" numFmtId="0" xfId="0" applyBorder="1" applyFont="1"/>
    <xf borderId="16" fillId="0" fontId="18" numFmtId="0" xfId="0" applyBorder="1" applyFont="1"/>
    <xf borderId="16" fillId="0" fontId="0" numFmtId="0" xfId="0" applyBorder="1" applyFont="1"/>
    <xf borderId="1" fillId="14" fontId="17" numFmtId="0" xfId="0" applyBorder="1" applyFont="1"/>
    <xf borderId="16" fillId="0" fontId="25" numFmtId="0" xfId="0" applyAlignment="1" applyBorder="1" applyFont="1">
      <alignment horizontal="right"/>
    </xf>
    <xf borderId="0" fillId="0" fontId="17" numFmtId="0" xfId="0" applyAlignment="1" applyFont="1">
      <alignment horizontal="right"/>
    </xf>
    <xf borderId="45" fillId="14" fontId="26" numFmtId="0" xfId="0" applyBorder="1" applyFont="1"/>
    <xf borderId="16" fillId="0" fontId="27" numFmtId="0" xfId="0" applyBorder="1" applyFont="1"/>
    <xf borderId="16" fillId="0" fontId="28" numFmtId="0" xfId="0" applyAlignment="1" applyBorder="1" applyFont="1">
      <alignment horizontal="right"/>
    </xf>
    <xf borderId="12" fillId="0" fontId="17" numFmtId="0" xfId="0" applyBorder="1" applyFont="1"/>
    <xf borderId="31" fillId="0" fontId="17" numFmtId="0" xfId="0" applyBorder="1" applyFont="1"/>
    <xf borderId="13" fillId="0" fontId="29" numFmtId="0" xfId="0" applyAlignment="1" applyBorder="1" applyFont="1">
      <alignment horizontal="center"/>
    </xf>
    <xf borderId="13" fillId="0" fontId="17" numFmtId="0" xfId="0" applyBorder="1" applyFont="1"/>
    <xf borderId="0" fillId="0" fontId="30" numFmtId="0" xfId="0" applyFont="1"/>
    <xf borderId="0" fillId="0" fontId="29" numFmtId="0" xfId="0" applyFont="1"/>
    <xf borderId="0" fillId="0" fontId="31" numFmtId="0" xfId="0" applyFont="1"/>
    <xf borderId="43" fillId="0" fontId="32" numFmtId="0" xfId="0" applyBorder="1" applyFont="1"/>
    <xf borderId="1" fillId="0" fontId="32" numFmtId="0" xfId="0" applyBorder="1" applyFont="1"/>
    <xf borderId="43" fillId="0" fontId="33" numFmtId="0" xfId="0" applyAlignment="1" applyBorder="1" applyFont="1">
      <alignment horizontal="center"/>
    </xf>
    <xf borderId="44" fillId="0" fontId="10" numFmtId="0" xfId="0" applyBorder="1" applyFont="1"/>
    <xf borderId="39" fillId="0" fontId="32" numFmtId="0" xfId="0" applyBorder="1" applyFont="1"/>
    <xf borderId="38" fillId="0" fontId="32" numFmtId="0" xfId="0" applyBorder="1" applyFont="1"/>
    <xf borderId="37" fillId="0" fontId="32" numFmtId="0" xfId="0" applyBorder="1" applyFont="1"/>
    <xf borderId="35" fillId="0" fontId="32" numFmtId="0" xfId="0" applyBorder="1" applyFont="1"/>
    <xf borderId="36" fillId="0" fontId="32" numFmtId="0" xfId="0" applyBorder="1" applyFont="1"/>
    <xf borderId="37" fillId="0" fontId="34" numFmtId="0" xfId="0" applyBorder="1" applyFont="1"/>
    <xf borderId="1" fillId="16" fontId="32" numFmtId="0" xfId="0" applyBorder="1" applyFont="1"/>
    <xf borderId="0" fillId="0" fontId="32" numFmtId="0" xfId="0" applyFont="1"/>
    <xf borderId="39" fillId="0" fontId="32" numFmtId="0" xfId="0" applyAlignment="1" applyBorder="1" applyFont="1">
      <alignment horizontal="right"/>
    </xf>
    <xf borderId="46" fillId="19" fontId="32" numFmtId="0" xfId="0" applyBorder="1" applyFill="1" applyFont="1"/>
    <xf borderId="2" fillId="5" fontId="31" numFmtId="0" xfId="0" applyBorder="1" applyFont="1"/>
    <xf borderId="1" fillId="19" fontId="32" numFmtId="0" xfId="0" applyBorder="1" applyFont="1"/>
    <xf borderId="7" fillId="5" fontId="31" numFmtId="0" xfId="0" applyBorder="1" applyFont="1"/>
    <xf borderId="39" fillId="0" fontId="35" numFmtId="0" xfId="0" applyAlignment="1" applyBorder="1" applyFont="1">
      <alignment horizontal="right"/>
    </xf>
    <xf borderId="42" fillId="0" fontId="32" numFmtId="0" xfId="0" applyBorder="1" applyFont="1"/>
    <xf borderId="41" fillId="0" fontId="32" numFmtId="0" xfId="0" applyBorder="1" applyFont="1"/>
    <xf borderId="18" fillId="0" fontId="32" numFmtId="0" xfId="0" applyBorder="1" applyFont="1"/>
    <xf borderId="43" fillId="0" fontId="32" numFmtId="0" xfId="0" applyAlignment="1" applyBorder="1" applyFont="1">
      <alignment horizontal="center"/>
    </xf>
    <xf borderId="44" fillId="0" fontId="32" numFmtId="0" xfId="0" applyAlignment="1" applyBorder="1" applyFont="1">
      <alignment horizontal="center"/>
    </xf>
    <xf borderId="39" fillId="0" fontId="34" numFmtId="0" xfId="0" applyBorder="1" applyFont="1"/>
    <xf borderId="0" fillId="0" fontId="32" numFmtId="0" xfId="0" applyAlignment="1" applyFont="1">
      <alignment horizontal="right"/>
    </xf>
    <xf borderId="43" fillId="0" fontId="36" numFmtId="0" xfId="0" applyAlignment="1" applyBorder="1" applyFont="1">
      <alignment horizontal="left"/>
    </xf>
    <xf borderId="1" fillId="0" fontId="31" numFmtId="0" xfId="0" applyBorder="1" applyFont="1"/>
    <xf borderId="1" fillId="19" fontId="31" numFmtId="0" xfId="0" applyBorder="1" applyFont="1"/>
    <xf borderId="1" fillId="0" fontId="31" numFmtId="0" xfId="0" applyAlignment="1" applyBorder="1" applyFont="1">
      <alignment horizontal="right"/>
    </xf>
    <xf borderId="43" fillId="0" fontId="31" numFmtId="0" xfId="0" applyAlignment="1" applyBorder="1" applyFont="1">
      <alignment horizontal="left"/>
    </xf>
    <xf borderId="1" fillId="0" fontId="36" numFmtId="0" xfId="0" applyBorder="1" applyFont="1"/>
    <xf borderId="1" fillId="0" fontId="36" numFmtId="0" xfId="0" applyAlignment="1" applyBorder="1" applyFont="1">
      <alignment horizontal="right"/>
    </xf>
    <xf borderId="47" fillId="0" fontId="36" numFmtId="0" xfId="0" applyAlignment="1" applyBorder="1" applyFont="1">
      <alignment horizontal="center" vertical="center"/>
    </xf>
    <xf borderId="47" fillId="0" fontId="37" numFmtId="0" xfId="0" applyAlignment="1" applyBorder="1" applyFont="1">
      <alignment horizontal="center" vertical="center"/>
    </xf>
    <xf borderId="48" fillId="0" fontId="10" numFmtId="0" xfId="0" applyBorder="1" applyFont="1"/>
    <xf borderId="47" fillId="0" fontId="36" numFmtId="0" xfId="0" applyAlignment="1" applyBorder="1" applyFont="1">
      <alignment horizontal="left" shrinkToFit="0" vertical="center" wrapText="1"/>
    </xf>
    <xf borderId="47" fillId="0" fontId="38" numFmtId="0" xfId="0" applyAlignment="1" applyBorder="1" applyFont="1">
      <alignment horizontal="center" vertical="center"/>
    </xf>
    <xf borderId="47" fillId="0" fontId="39" numFmtId="0" xfId="0" applyAlignment="1" applyBorder="1" applyFont="1">
      <alignment horizontal="left" shrinkToFit="0" vertical="center" wrapText="1"/>
    </xf>
    <xf borderId="49" fillId="0" fontId="31" numFmtId="0" xfId="0" applyBorder="1" applyFont="1"/>
    <xf borderId="50" fillId="20" fontId="36" numFmtId="0" xfId="0" applyAlignment="1" applyBorder="1" applyFill="1" applyFont="1">
      <alignment horizontal="center" shrinkToFit="0" vertical="center" wrapText="1"/>
    </xf>
    <xf borderId="48" fillId="0" fontId="37" numFmtId="0" xfId="0" applyAlignment="1" applyBorder="1" applyFont="1">
      <alignment horizontal="center" vertical="center"/>
    </xf>
    <xf borderId="51" fillId="0" fontId="31" numFmtId="0" xfId="0" applyBorder="1" applyFont="1"/>
    <xf borderId="52" fillId="0" fontId="10" numFmtId="0" xfId="0" applyBorder="1" applyFont="1"/>
    <xf borderId="1" fillId="0" fontId="37" numFmtId="0" xfId="0" applyAlignment="1" applyBorder="1" applyFont="1">
      <alignment horizontal="center" vertical="center"/>
    </xf>
    <xf borderId="43" fillId="0" fontId="31" numFmtId="0" xfId="0" applyBorder="1" applyFont="1"/>
    <xf borderId="53" fillId="0" fontId="31" numFmtId="0" xfId="0" applyBorder="1" applyFont="1"/>
    <xf borderId="1" fillId="0" fontId="38" numFmtId="0" xfId="0" applyAlignment="1" applyBorder="1" applyFont="1">
      <alignment horizontal="center"/>
    </xf>
    <xf borderId="54" fillId="0" fontId="31" numFmtId="0" xfId="0" applyBorder="1" applyFont="1"/>
    <xf borderId="55" fillId="0" fontId="10" numFmtId="0" xfId="0" applyBorder="1" applyFont="1"/>
    <xf borderId="47" fillId="0" fontId="38" numFmtId="0" xfId="0" applyAlignment="1" applyBorder="1" applyFont="1">
      <alignment horizontal="center"/>
    </xf>
    <xf borderId="56" fillId="0" fontId="31" numFmtId="0" xfId="0" applyBorder="1" applyFont="1"/>
    <xf borderId="57" fillId="0" fontId="31" numFmtId="0" xfId="0" applyBorder="1" applyFont="1"/>
    <xf borderId="58" fillId="9" fontId="25" numFmtId="0" xfId="0" applyAlignment="1" applyBorder="1" applyFont="1">
      <alignment horizontal="center" shrinkToFit="0" vertical="center" wrapText="1"/>
    </xf>
    <xf borderId="1" fillId="0" fontId="35" numFmtId="0" xfId="0" applyAlignment="1" applyBorder="1" applyFont="1">
      <alignment horizontal="center"/>
    </xf>
    <xf borderId="1" fillId="21" fontId="32" numFmtId="0" xfId="0" applyBorder="1" applyFill="1" applyFont="1"/>
    <xf borderId="59" fillId="0" fontId="10" numFmtId="0" xfId="0" applyBorder="1" applyFont="1"/>
    <xf borderId="1" fillId="22" fontId="32" numFmtId="0" xfId="0" applyBorder="1" applyFill="1" applyFont="1"/>
    <xf borderId="60" fillId="0" fontId="10" numFmtId="0" xfId="0" applyBorder="1" applyFont="1"/>
    <xf borderId="0" fillId="0" fontId="32" numFmtId="0" xfId="0" applyAlignment="1" applyFont="1">
      <alignment horizontal="center"/>
    </xf>
    <xf borderId="47" fillId="0" fontId="32" numFmtId="0" xfId="0" applyBorder="1" applyFont="1"/>
    <xf borderId="35" fillId="0" fontId="31" numFmtId="0" xfId="0" applyBorder="1" applyFont="1"/>
    <xf borderId="36" fillId="0" fontId="31" numFmtId="0" xfId="0" applyBorder="1" applyFont="1"/>
    <xf borderId="52" fillId="0" fontId="31" numFmtId="0" xfId="0" applyBorder="1" applyFont="1"/>
    <xf borderId="38" fillId="0" fontId="31" numFmtId="0" xfId="0" applyBorder="1" applyFont="1"/>
    <xf borderId="48" fillId="0" fontId="31" numFmtId="0" xfId="0" applyBorder="1" applyFont="1"/>
    <xf borderId="41" fillId="0" fontId="31" numFmtId="0" xfId="0" applyBorder="1" applyFont="1"/>
    <xf borderId="18" fillId="0" fontId="31" numFmtId="0" xfId="0" applyBorder="1" applyFont="1"/>
    <xf borderId="47" fillId="0" fontId="31" numFmtId="0" xfId="0" applyBorder="1" applyFont="1"/>
    <xf borderId="37" fillId="0" fontId="31" numFmtId="0" xfId="0" applyBorder="1" applyFont="1"/>
    <xf borderId="39" fillId="0" fontId="31" numFmtId="0" xfId="0" applyBorder="1" applyFont="1"/>
    <xf borderId="42" fillId="0" fontId="31" numFmtId="0" xfId="0" applyBorder="1" applyFont="1"/>
    <xf borderId="1" fillId="23" fontId="31" numFmtId="0" xfId="0" applyBorder="1" applyFill="1" applyFont="1"/>
    <xf borderId="2" fillId="9" fontId="31" numFmtId="0" xfId="0" applyBorder="1" applyFont="1"/>
    <xf borderId="0" fillId="0" fontId="5" numFmtId="0" xfId="0" applyAlignment="1" applyFont="1">
      <alignment vertical="center"/>
    </xf>
    <xf borderId="0" fillId="0" fontId="40" numFmtId="0" xfId="0" applyAlignment="1" applyFont="1">
      <alignment vertical="center"/>
    </xf>
    <xf borderId="0" fillId="0" fontId="40" numFmtId="0" xfId="0" applyAlignment="1" applyFont="1">
      <alignment horizontal="center" vertical="center"/>
    </xf>
    <xf borderId="0" fillId="24" fontId="41" numFmtId="0" xfId="0" applyAlignment="1" applyFill="1" applyFont="1">
      <alignment vertical="center"/>
    </xf>
    <xf borderId="0" fillId="25" fontId="42" numFmtId="0" xfId="0" applyAlignment="1" applyFill="1" applyFont="1">
      <alignment horizontal="left" vertical="center"/>
    </xf>
    <xf borderId="0" fillId="26" fontId="43" numFmtId="0" xfId="0" applyAlignment="1" applyFill="1" applyFont="1">
      <alignment horizontal="center" vertical="center"/>
    </xf>
    <xf borderId="0" fillId="27" fontId="44" numFmtId="0" xfId="0" applyAlignment="1" applyFill="1" applyFont="1">
      <alignment horizontal="center" vertical="center"/>
    </xf>
    <xf borderId="0" fillId="0" fontId="45" numFmtId="0" xfId="0" applyAlignment="1" applyFont="1">
      <alignment vertical="center"/>
    </xf>
    <xf borderId="61" fillId="24" fontId="46" numFmtId="0" xfId="0" applyAlignment="1" applyBorder="1" applyFont="1">
      <alignment vertical="center"/>
    </xf>
    <xf borderId="62" fillId="28" fontId="47" numFmtId="0" xfId="0" applyAlignment="1" applyBorder="1" applyFill="1" applyFont="1">
      <alignment horizontal="center" vertical="center"/>
    </xf>
    <xf borderId="63" fillId="25" fontId="48" numFmtId="0" xfId="0" applyAlignment="1" applyBorder="1" applyFont="1">
      <alignment vertical="center"/>
    </xf>
    <xf borderId="0" fillId="5" fontId="49" numFmtId="0" xfId="0" applyAlignment="1" applyFont="1">
      <alignment horizontal="center" vertical="center"/>
    </xf>
    <xf borderId="0" fillId="29" fontId="44" numFmtId="0" xfId="0" applyAlignment="1" applyFill="1" applyFont="1">
      <alignment horizontal="center" vertical="center"/>
    </xf>
    <xf borderId="0" fillId="30" fontId="40" numFmtId="0" xfId="0" applyAlignment="1" applyFill="1" applyFont="1">
      <alignment horizontal="center" vertical="center"/>
    </xf>
    <xf borderId="0" fillId="25" fontId="50" numFmtId="0" xfId="0" applyAlignment="1" applyFont="1">
      <alignment vertical="center"/>
    </xf>
    <xf borderId="64" fillId="0" fontId="10" numFmtId="0" xfId="0" applyBorder="1" applyFont="1"/>
    <xf borderId="0" fillId="6" fontId="47" numFmtId="0" xfId="0" applyAlignment="1" applyFont="1">
      <alignment horizontal="center" vertical="center"/>
    </xf>
    <xf borderId="65" fillId="25" fontId="48" numFmtId="0" xfId="0" applyAlignment="1" applyBorder="1" applyFont="1">
      <alignment vertical="center"/>
    </xf>
    <xf borderId="0" fillId="28" fontId="47" numFmtId="0" xfId="0" applyAlignment="1" applyFont="1">
      <alignment horizontal="center" vertical="center"/>
    </xf>
    <xf borderId="0" fillId="30" fontId="40" numFmtId="165" xfId="0" applyAlignment="1" applyFont="1" applyNumberFormat="1">
      <alignment horizontal="center" vertical="center"/>
    </xf>
    <xf borderId="64" fillId="29" fontId="46" numFmtId="0" xfId="0" applyAlignment="1" applyBorder="1" applyFont="1">
      <alignment vertical="center"/>
    </xf>
    <xf borderId="0" fillId="31" fontId="40" numFmtId="0" xfId="0" applyAlignment="1" applyFill="1" applyFont="1">
      <alignment horizontal="center" vertical="center"/>
    </xf>
    <xf borderId="0" fillId="32" fontId="50" numFmtId="0" xfId="0" applyAlignment="1" applyFill="1" applyFont="1">
      <alignment vertical="center"/>
    </xf>
    <xf borderId="0" fillId="6" fontId="47" numFmtId="165" xfId="0" applyAlignment="1" applyFont="1" applyNumberFormat="1">
      <alignment horizontal="center" vertical="center"/>
    </xf>
    <xf borderId="0" fillId="31" fontId="40" numFmtId="165" xfId="0" applyAlignment="1" applyFont="1" applyNumberFormat="1">
      <alignment horizontal="center" vertical="center"/>
    </xf>
    <xf borderId="64" fillId="24" fontId="46" numFmtId="0" xfId="0" applyAlignment="1" applyBorder="1" applyFont="1">
      <alignment vertical="center"/>
    </xf>
    <xf borderId="0" fillId="28" fontId="47" numFmtId="165" xfId="0" applyAlignment="1" applyFont="1" applyNumberFormat="1">
      <alignment horizontal="center" vertical="center"/>
    </xf>
    <xf borderId="0" fillId="0" fontId="40" numFmtId="166" xfId="0" applyAlignment="1" applyFont="1" applyNumberFormat="1">
      <alignment vertical="center"/>
    </xf>
    <xf borderId="66" fillId="24" fontId="46" numFmtId="0" xfId="0" applyAlignment="1" applyBorder="1" applyFont="1">
      <alignment vertical="center"/>
    </xf>
    <xf borderId="67" fillId="28" fontId="47" numFmtId="0" xfId="0" applyAlignment="1" applyBorder="1" applyFont="1">
      <alignment horizontal="center" vertical="center"/>
    </xf>
    <xf borderId="68" fillId="33" fontId="48" numFmtId="0" xfId="0" applyAlignment="1" applyBorder="1" applyFill="1" applyFont="1">
      <alignment vertical="center"/>
    </xf>
    <xf borderId="0" fillId="19" fontId="43" numFmtId="0" xfId="0" applyAlignment="1" applyFont="1">
      <alignment horizontal="center" vertical="center"/>
    </xf>
    <xf borderId="0" fillId="25" fontId="51" numFmtId="0" xfId="0" applyAlignment="1" applyFont="1">
      <alignment horizontal="center" vertical="center"/>
    </xf>
    <xf borderId="62" fillId="34" fontId="42" numFmtId="0" xfId="0" applyAlignment="1" applyBorder="1" applyFill="1" applyFont="1">
      <alignment horizontal="center" vertical="center"/>
    </xf>
    <xf borderId="63" fillId="25" fontId="5" numFmtId="0" xfId="0" applyAlignment="1" applyBorder="1" applyFont="1">
      <alignment vertical="center"/>
    </xf>
    <xf borderId="0" fillId="25" fontId="40" numFmtId="0" xfId="0" applyAlignment="1" applyFont="1">
      <alignment horizontal="center" vertical="center"/>
    </xf>
    <xf borderId="0" fillId="31" fontId="42" numFmtId="0" xfId="0" applyAlignment="1" applyFont="1">
      <alignment horizontal="center" vertical="center"/>
    </xf>
    <xf borderId="65" fillId="25" fontId="5" numFmtId="0" xfId="0" applyAlignment="1" applyBorder="1" applyFont="1">
      <alignment vertical="center"/>
    </xf>
    <xf borderId="0" fillId="34" fontId="42" numFmtId="0" xfId="0" applyAlignment="1" applyFont="1">
      <alignment horizontal="center" vertical="center"/>
    </xf>
    <xf borderId="0" fillId="34" fontId="42" numFmtId="167" xfId="0" applyAlignment="1" applyFont="1" applyNumberFormat="1">
      <alignment horizontal="center" vertical="center"/>
    </xf>
    <xf borderId="65" fillId="25" fontId="52" numFmtId="0" xfId="0" applyAlignment="1" applyBorder="1" applyFont="1">
      <alignment vertical="center"/>
    </xf>
    <xf borderId="0" fillId="28" fontId="53" numFmtId="167" xfId="0" applyAlignment="1" applyFont="1" applyNumberFormat="1">
      <alignment horizontal="center" vertical="center"/>
    </xf>
    <xf borderId="65" fillId="33" fontId="52" numFmtId="0" xfId="0" applyAlignment="1" applyBorder="1" applyFont="1">
      <alignment vertical="center"/>
    </xf>
    <xf borderId="67" fillId="28" fontId="53" numFmtId="168" xfId="0" applyAlignment="1" applyBorder="1" applyFont="1" applyNumberFormat="1">
      <alignment horizontal="center" vertical="center"/>
    </xf>
    <xf borderId="68" fillId="33" fontId="52" numFmtId="0" xfId="0" applyAlignment="1" applyBorder="1" applyFont="1">
      <alignment vertical="center"/>
    </xf>
    <xf borderId="0" fillId="0" fontId="51" numFmtId="0" xfId="0" applyAlignment="1" applyFont="1">
      <alignment horizontal="center" vertical="center"/>
    </xf>
    <xf borderId="0" fillId="0" fontId="54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169" xfId="0" applyAlignment="1" applyFont="1" applyNumberFormat="1">
      <alignment horizontal="center" vertical="center"/>
    </xf>
    <xf borderId="0" fillId="35" fontId="46" numFmtId="0" xfId="0" applyAlignment="1" applyFill="1" applyFont="1">
      <alignment vertical="center"/>
    </xf>
    <xf borderId="0" fillId="28" fontId="5" numFmtId="0" xfId="0" applyAlignment="1" applyFont="1">
      <alignment horizontal="center" vertical="center"/>
    </xf>
    <xf borderId="0" fillId="25" fontId="48" numFmtId="0" xfId="0" applyAlignment="1" applyFont="1">
      <alignment horizontal="center" vertical="center"/>
    </xf>
    <xf borderId="0" fillId="28" fontId="5" numFmtId="170" xfId="0" applyAlignment="1" applyFont="1" applyNumberFormat="1">
      <alignment horizontal="center" vertical="center"/>
    </xf>
    <xf borderId="0" fillId="25" fontId="48" numFmtId="0" xfId="0" applyAlignment="1" applyFont="1">
      <alignment vertical="center"/>
    </xf>
    <xf borderId="0" fillId="36" fontId="46" numFmtId="0" xfId="0" applyAlignment="1" applyFill="1" applyFont="1">
      <alignment vertical="center"/>
    </xf>
    <xf borderId="0" fillId="6" fontId="5" numFmtId="0" xfId="0" applyAlignment="1" applyFont="1">
      <alignment horizontal="center" vertical="center"/>
    </xf>
    <xf borderId="0" fillId="25" fontId="5" numFmtId="170" xfId="0" applyAlignment="1" applyFont="1" applyNumberFormat="1">
      <alignment horizontal="center" vertical="center"/>
    </xf>
    <xf borderId="0" fillId="6" fontId="5" numFmtId="170" xfId="0" applyAlignment="1" applyFont="1" applyNumberFormat="1">
      <alignment horizontal="center" vertical="center"/>
    </xf>
    <xf borderId="0" fillId="5" fontId="5" numFmtId="169" xfId="0" applyAlignment="1" applyFont="1" applyNumberFormat="1">
      <alignment horizontal="center" vertical="center"/>
    </xf>
    <xf borderId="0" fillId="5" fontId="42" numFmtId="0" xfId="0" applyAlignment="1" applyFont="1">
      <alignment vertical="center"/>
    </xf>
    <xf borderId="0" fillId="0" fontId="42" numFmtId="0" xfId="0" applyAlignment="1" applyFont="1">
      <alignment vertical="center"/>
    </xf>
    <xf borderId="0" fillId="0" fontId="55" numFmtId="0" xfId="0" applyAlignment="1" applyFont="1">
      <alignment vertical="center"/>
    </xf>
    <xf borderId="0" fillId="25" fontId="5" numFmtId="0" xfId="0" applyAlignment="1" applyFont="1">
      <alignment horizontal="center" vertical="center"/>
    </xf>
    <xf borderId="0" fillId="5" fontId="5" numFmtId="169" xfId="0" applyAlignment="1" applyFont="1" applyNumberFormat="1">
      <alignment vertical="center"/>
    </xf>
    <xf borderId="0" fillId="37" fontId="56" numFmtId="0" xfId="0" applyAlignment="1" applyFill="1" applyFont="1">
      <alignment horizontal="center" vertical="center"/>
    </xf>
    <xf borderId="0" fillId="34" fontId="5" numFmtId="2" xfId="0" applyAlignment="1" applyFont="1" applyNumberFormat="1">
      <alignment horizontal="center" vertical="center"/>
    </xf>
    <xf borderId="0" fillId="3" fontId="48" numFmtId="0" xfId="0" applyAlignment="1" applyFont="1">
      <alignment horizontal="center" vertical="center"/>
    </xf>
    <xf borderId="0" fillId="3" fontId="5" numFmtId="0" xfId="0" applyFont="1"/>
    <xf borderId="0" fillId="6" fontId="47" numFmtId="0" xfId="0" applyAlignment="1" applyFont="1">
      <alignment shrinkToFit="0" vertical="center" wrapText="0"/>
    </xf>
    <xf borderId="0" fillId="38" fontId="57" numFmtId="2" xfId="0" applyAlignment="1" applyFill="1" applyFont="1" applyNumberFormat="1">
      <alignment horizontal="center" shrinkToFit="0" vertical="center" wrapText="0"/>
    </xf>
    <xf borderId="0" fillId="39" fontId="58" numFmtId="0" xfId="0" applyAlignment="1" applyFill="1" applyFont="1">
      <alignment horizontal="center" shrinkToFit="0" vertical="center" wrapText="0"/>
    </xf>
    <xf borderId="0" fillId="3" fontId="47" numFmtId="0" xfId="0" applyAlignment="1" applyFont="1">
      <alignment shrinkToFit="0" vertical="center" wrapText="0"/>
    </xf>
    <xf borderId="0" fillId="40" fontId="47" numFmtId="0" xfId="0" applyAlignment="1" applyFill="1" applyFont="1">
      <alignment shrinkToFit="0" vertical="center" wrapText="0"/>
    </xf>
    <xf borderId="0" fillId="41" fontId="57" numFmtId="168" xfId="0" applyAlignment="1" applyFill="1" applyFont="1" applyNumberFormat="1">
      <alignment horizontal="center" shrinkToFit="0" vertical="center" wrapText="0"/>
    </xf>
    <xf borderId="0" fillId="3" fontId="58" numFmtId="0" xfId="0" applyAlignment="1" applyFont="1">
      <alignment horizontal="center" shrinkToFit="0" vertical="center" wrapText="0"/>
    </xf>
    <xf borderId="0" fillId="38" fontId="57" numFmtId="168" xfId="0" applyAlignment="1" applyFont="1" applyNumberFormat="1">
      <alignment horizontal="center" shrinkToFit="0" vertical="center" wrapText="0"/>
    </xf>
    <xf borderId="0" fillId="42" fontId="56" numFmtId="0" xfId="0" applyAlignment="1" applyFill="1" applyFont="1">
      <alignment vertical="center"/>
    </xf>
    <xf borderId="0" fillId="31" fontId="5" numFmtId="167" xfId="0" applyAlignment="1" applyFont="1" applyNumberFormat="1">
      <alignment horizontal="center" vertical="center"/>
    </xf>
    <xf borderId="0" fillId="41" fontId="57" numFmtId="2" xfId="0" applyAlignment="1" applyFont="1" applyNumberFormat="1">
      <alignment horizontal="center" shrinkToFit="0" vertical="center" wrapText="0"/>
    </xf>
    <xf borderId="0" fillId="37" fontId="42" numFmtId="0" xfId="0" applyAlignment="1" applyFont="1">
      <alignment vertical="center"/>
    </xf>
    <xf borderId="0" fillId="31" fontId="5" numFmtId="2" xfId="0" applyAlignment="1" applyFont="1" applyNumberFormat="1">
      <alignment horizontal="center" vertical="center"/>
    </xf>
    <xf borderId="0" fillId="37" fontId="56" numFmtId="0" xfId="0" applyAlignment="1" applyFont="1">
      <alignment vertical="center"/>
    </xf>
    <xf borderId="0" fillId="42" fontId="56" numFmtId="0" xfId="0" applyAlignment="1" applyFont="1">
      <alignment horizontal="center" vertical="center"/>
    </xf>
    <xf borderId="0" fillId="31" fontId="5" numFmtId="170" xfId="0" applyAlignment="1" applyFont="1" applyNumberFormat="1">
      <alignment horizontal="center" vertical="center"/>
    </xf>
    <xf borderId="0" fillId="38" fontId="57" numFmtId="170" xfId="0" applyAlignment="1" applyFont="1" applyNumberFormat="1">
      <alignment horizontal="center" shrinkToFit="0" vertical="center" wrapText="0"/>
    </xf>
    <xf borderId="0" fillId="0" fontId="40" numFmtId="0" xfId="0" applyAlignment="1" applyFont="1">
      <alignment horizontal="center"/>
    </xf>
    <xf borderId="0" fillId="43" fontId="59" numFmtId="2" xfId="0" applyAlignment="1" applyFill="1" applyFont="1" applyNumberFormat="1">
      <alignment horizontal="center" vertical="center"/>
    </xf>
    <xf borderId="0" fillId="38" fontId="57" numFmtId="0" xfId="0" applyAlignment="1" applyFont="1">
      <alignment horizontal="center" shrinkToFit="0" vertical="center" wrapText="0"/>
    </xf>
    <xf borderId="0" fillId="44" fontId="47" numFmtId="2" xfId="0" applyAlignment="1" applyFill="1" applyFont="1" applyNumberFormat="1">
      <alignment horizontal="center" shrinkToFit="0" vertical="center" wrapText="0"/>
    </xf>
    <xf borderId="0" fillId="41" fontId="57" numFmtId="171" xfId="0" applyAlignment="1" applyFont="1" applyNumberFormat="1">
      <alignment horizontal="center" shrinkToFit="0" vertical="center" wrapText="0"/>
    </xf>
    <xf borderId="0" fillId="41" fontId="57" numFmtId="167" xfId="0" applyAlignment="1" applyFont="1" applyNumberFormat="1">
      <alignment horizontal="center" shrinkToFit="0" vertical="center" wrapText="0"/>
    </xf>
    <xf borderId="0" fillId="37" fontId="56" numFmtId="11" xfId="0" applyAlignment="1" applyFont="1" applyNumberFormat="1">
      <alignment vertical="center"/>
    </xf>
    <xf borderId="0" fillId="34" fontId="5" numFmtId="172" xfId="0" applyAlignment="1" applyFont="1" applyNumberFormat="1">
      <alignment horizontal="center" vertical="center"/>
    </xf>
    <xf borderId="0" fillId="40" fontId="47" numFmtId="11" xfId="0" applyAlignment="1" applyFont="1" applyNumberFormat="1">
      <alignment shrinkToFit="0" vertical="center" wrapText="0"/>
    </xf>
    <xf borderId="0" fillId="31" fontId="5" numFmtId="172" xfId="0" applyAlignment="1" applyFont="1" applyNumberFormat="1">
      <alignment horizontal="center" vertical="center"/>
    </xf>
    <xf borderId="0" fillId="37" fontId="56" numFmtId="0" xfId="0" applyAlignment="1" applyFont="1">
      <alignment horizontal="right" vertical="center"/>
    </xf>
    <xf borderId="0" fillId="42" fontId="56" numFmtId="0" xfId="0" applyAlignment="1" applyFont="1">
      <alignment horizontal="right" vertical="center"/>
    </xf>
    <xf borderId="0" fillId="43" fontId="59" numFmtId="170" xfId="0" applyAlignment="1" applyFont="1" applyNumberFormat="1">
      <alignment horizontal="center" vertical="center"/>
    </xf>
    <xf borderId="0" fillId="25" fontId="5" numFmtId="0" xfId="0" applyAlignment="1" applyFont="1">
      <alignment vertical="center"/>
    </xf>
    <xf borderId="0" fillId="3" fontId="5" numFmtId="0" xfId="0" applyAlignment="1" applyFont="1">
      <alignment vertical="center"/>
    </xf>
    <xf borderId="0" fillId="43" fontId="60" numFmtId="0" xfId="0" applyAlignment="1" applyFont="1">
      <alignment horizontal="center" vertical="center"/>
    </xf>
    <xf borderId="0" fillId="40" fontId="47" numFmtId="0" xfId="0" applyAlignment="1" applyFont="1">
      <alignment horizontal="center" shrinkToFit="0" vertical="center" wrapText="0"/>
    </xf>
    <xf borderId="0" fillId="41" fontId="61" numFmtId="2" xfId="0" applyAlignment="1" applyFont="1" applyNumberFormat="1">
      <alignment horizontal="center" shrinkToFit="0" vertical="center" wrapText="0"/>
    </xf>
    <xf borderId="0" fillId="6" fontId="47" numFmtId="0" xfId="0" applyAlignment="1" applyFont="1">
      <alignment horizontal="center" shrinkToFit="0" vertical="center" wrapText="0"/>
    </xf>
    <xf borderId="0" fillId="38" fontId="61" numFmtId="167" xfId="0" applyAlignment="1" applyFont="1" applyNumberFormat="1">
      <alignment horizontal="center" shrinkToFit="0" vertical="center" wrapText="0"/>
    </xf>
    <xf borderId="0" fillId="41" fontId="61" numFmtId="173" xfId="0" applyAlignment="1" applyFont="1" applyNumberFormat="1">
      <alignment horizontal="center" shrinkToFit="0" vertical="center" wrapText="0"/>
    </xf>
    <xf borderId="0" fillId="38" fontId="61" numFmtId="173" xfId="0" applyAlignment="1" applyFont="1" applyNumberFormat="1">
      <alignment horizontal="center" shrinkToFit="0" vertical="center" wrapText="0"/>
    </xf>
    <xf borderId="0" fillId="3" fontId="54" numFmtId="0" xfId="0" applyAlignment="1" applyFont="1">
      <alignment vertical="center"/>
    </xf>
    <xf borderId="0" fillId="3" fontId="5" numFmtId="0" xfId="0" applyAlignment="1" applyFont="1">
      <alignment horizontal="center" vertical="center"/>
    </xf>
    <xf borderId="0" fillId="3" fontId="5" numFmtId="16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0</xdr:colOff>
      <xdr:row>1</xdr:row>
      <xdr:rowOff>28575</xdr:rowOff>
    </xdr:from>
    <xdr:ext cx="4657725" cy="467677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600075</xdr:colOff>
      <xdr:row>3</xdr:row>
      <xdr:rowOff>19050</xdr:rowOff>
    </xdr:from>
    <xdr:ext cx="4695825" cy="277177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409575</xdr:colOff>
      <xdr:row>11</xdr:row>
      <xdr:rowOff>171450</xdr:rowOff>
    </xdr:from>
    <xdr:ext cx="4162425" cy="2028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3</xdr:row>
      <xdr:rowOff>190500</xdr:rowOff>
    </xdr:from>
    <xdr:ext cx="2295525" cy="182880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952500</xdr:colOff>
      <xdr:row>0</xdr:row>
      <xdr:rowOff>57150</xdr:rowOff>
    </xdr:from>
    <xdr:ext cx="4238625" cy="298132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962025</xdr:colOff>
      <xdr:row>15</xdr:row>
      <xdr:rowOff>57150</xdr:rowOff>
    </xdr:from>
    <xdr:ext cx="5829300" cy="19240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16.63"/>
    <col customWidth="1" min="4" max="4" width="12.5"/>
    <col customWidth="1" min="5" max="26" width="7.63"/>
  </cols>
  <sheetData>
    <row r="1" ht="14.25" customHeight="1">
      <c r="B1" s="1"/>
    </row>
    <row r="2" ht="14.25" customHeight="1"/>
    <row r="3" ht="14.25" customHeight="1">
      <c r="B3" s="2" t="s">
        <v>0</v>
      </c>
    </row>
    <row r="4" ht="14.25" customHeight="1">
      <c r="B4" s="3" t="s">
        <v>1</v>
      </c>
    </row>
    <row r="5" ht="14.25" customHeight="1">
      <c r="B5" s="4" t="s">
        <v>2</v>
      </c>
    </row>
    <row r="6" ht="14.25" customHeight="1"/>
    <row r="7" ht="14.25" customHeight="1">
      <c r="B7" s="5" t="s">
        <v>3</v>
      </c>
      <c r="C7" s="5">
        <v>1800.0</v>
      </c>
    </row>
    <row r="8" ht="14.25" customHeight="1">
      <c r="B8" s="5" t="s">
        <v>4</v>
      </c>
      <c r="C8" s="5">
        <v>10000.0</v>
      </c>
    </row>
    <row r="9" ht="14.25" customHeight="1">
      <c r="B9" s="5" t="s">
        <v>5</v>
      </c>
      <c r="C9" s="5">
        <v>7000.0</v>
      </c>
    </row>
    <row r="10" ht="14.25" customHeight="1">
      <c r="B10" s="5" t="s">
        <v>6</v>
      </c>
      <c r="C10" s="5">
        <f>(C8+C9)/2</f>
        <v>8500</v>
      </c>
    </row>
    <row r="11" ht="14.25" customHeight="1">
      <c r="B11" s="5" t="s">
        <v>7</v>
      </c>
      <c r="C11" s="5">
        <f>(C8-C9)/(C8+C9)</f>
        <v>0.1764705882</v>
      </c>
    </row>
    <row r="12" ht="14.25" customHeight="1">
      <c r="B12" s="5" t="s">
        <v>8</v>
      </c>
      <c r="C12" s="5">
        <f>(2*PI()/SQRT(398600))*C10^(3/2)</f>
        <v>7799.01238</v>
      </c>
    </row>
    <row r="13" ht="14.25" customHeight="1">
      <c r="B13" s="5" t="s">
        <v>9</v>
      </c>
      <c r="C13" s="5">
        <f>2*PI()*(C7/C12)</f>
        <v>1.450149455</v>
      </c>
    </row>
    <row r="14" ht="14.25" customHeight="1"/>
    <row r="15" ht="14.25" customHeight="1">
      <c r="B15" s="5" t="s">
        <v>10</v>
      </c>
      <c r="C15" s="6">
        <f>C11</f>
        <v>0.1764705882</v>
      </c>
    </row>
    <row r="16" ht="14.25" customHeight="1">
      <c r="B16" s="5" t="s">
        <v>11</v>
      </c>
      <c r="C16" s="6">
        <f>C13</f>
        <v>1.450149455</v>
      </c>
    </row>
    <row r="17" ht="14.25" customHeight="1"/>
    <row r="18" ht="14.25" customHeight="1">
      <c r="C18" s="7" t="s">
        <v>12</v>
      </c>
      <c r="D18" s="7" t="s">
        <v>13</v>
      </c>
    </row>
    <row r="19" ht="14.25" customHeight="1">
      <c r="B19" s="5" t="s">
        <v>14</v>
      </c>
      <c r="C19" s="8">
        <f>IF(C16&lt;PI(),C16+C15/2,C16-C15/2)</f>
        <v>1.538384749</v>
      </c>
      <c r="D19" s="9">
        <f t="shared" ref="D19:D29" si="1">(C19-C$15*SIN(C19)-C$16)/(1-C$15*COS(C19))</f>
        <v>-0.08864956944</v>
      </c>
    </row>
    <row r="20" ht="14.25" customHeight="1">
      <c r="B20" s="5" t="s">
        <v>15</v>
      </c>
      <c r="C20" s="10">
        <f t="shared" ref="C20:C29" si="2">C19-(C19-C$15*SIN(C19)-C$16)/(1-C$15*COS(C19))</f>
        <v>1.627034319</v>
      </c>
      <c r="D20" s="9">
        <f t="shared" si="1"/>
        <v>0.0006864555439</v>
      </c>
    </row>
    <row r="21" ht="15.0" customHeight="1">
      <c r="B21" s="5" t="s">
        <v>16</v>
      </c>
      <c r="C21" s="10">
        <f t="shared" si="2"/>
        <v>1.626347863</v>
      </c>
      <c r="D21" s="9">
        <f t="shared" si="1"/>
        <v>0.00000004111033659</v>
      </c>
    </row>
    <row r="22" ht="14.25" customHeight="1">
      <c r="B22" s="5" t="s">
        <v>17</v>
      </c>
      <c r="C22" s="10">
        <f t="shared" si="2"/>
        <v>1.626347822</v>
      </c>
      <c r="D22" s="9">
        <f t="shared" si="1"/>
        <v>0</v>
      </c>
    </row>
    <row r="23" ht="14.25" customHeight="1">
      <c r="B23" s="5" t="s">
        <v>18</v>
      </c>
      <c r="C23" s="10">
        <f t="shared" si="2"/>
        <v>1.626347822</v>
      </c>
      <c r="D23" s="9">
        <f t="shared" si="1"/>
        <v>0</v>
      </c>
    </row>
    <row r="24" ht="14.25" customHeight="1">
      <c r="B24" s="5" t="s">
        <v>19</v>
      </c>
      <c r="C24" s="10">
        <f t="shared" si="2"/>
        <v>1.626347822</v>
      </c>
      <c r="D24" s="9">
        <f t="shared" si="1"/>
        <v>0</v>
      </c>
    </row>
    <row r="25" ht="14.25" customHeight="1">
      <c r="B25" s="5" t="s">
        <v>20</v>
      </c>
      <c r="C25" s="10">
        <f t="shared" si="2"/>
        <v>1.626347822</v>
      </c>
      <c r="D25" s="9">
        <f t="shared" si="1"/>
        <v>0</v>
      </c>
    </row>
    <row r="26" ht="14.25" customHeight="1">
      <c r="B26" s="5" t="s">
        <v>21</v>
      </c>
      <c r="C26" s="10">
        <f t="shared" si="2"/>
        <v>1.626347822</v>
      </c>
      <c r="D26" s="9">
        <f t="shared" si="1"/>
        <v>0</v>
      </c>
    </row>
    <row r="27" ht="14.25" customHeight="1">
      <c r="B27" s="5" t="s">
        <v>22</v>
      </c>
      <c r="C27" s="10">
        <f t="shared" si="2"/>
        <v>1.626347822</v>
      </c>
      <c r="D27" s="9">
        <f t="shared" si="1"/>
        <v>0</v>
      </c>
    </row>
    <row r="28" ht="14.25" customHeight="1">
      <c r="B28" s="5" t="s">
        <v>23</v>
      </c>
      <c r="C28" s="10">
        <f t="shared" si="2"/>
        <v>1.626347822</v>
      </c>
      <c r="D28" s="9">
        <f t="shared" si="1"/>
        <v>0</v>
      </c>
    </row>
    <row r="29" ht="14.25" customHeight="1">
      <c r="B29" s="5" t="s">
        <v>24</v>
      </c>
      <c r="C29" s="11">
        <f t="shared" si="2"/>
        <v>1.626347822</v>
      </c>
      <c r="D29" s="9">
        <f t="shared" si="1"/>
        <v>0</v>
      </c>
    </row>
    <row r="30" ht="14.25" customHeight="1"/>
    <row r="31" ht="14.25" customHeight="1">
      <c r="B31" s="5" t="s">
        <v>25</v>
      </c>
      <c r="C31" s="12">
        <f>(2*ATAN(SQRT((1+C15)/(1-C15))*TAN(C29/2)))</f>
        <v>1.802609385</v>
      </c>
      <c r="D31" s="5" t="s">
        <v>26</v>
      </c>
      <c r="E31" s="5" t="s">
        <v>27</v>
      </c>
    </row>
    <row r="32" ht="14.25" customHeight="1">
      <c r="C32" s="13">
        <f>(2*ATAN(SQRT((1+C15)/(1-C15))*TAN(C29/2)))*180/PI()</f>
        <v>103.2819099</v>
      </c>
      <c r="D32" s="5" t="s">
        <v>28</v>
      </c>
      <c r="E32" s="5" t="s">
        <v>27</v>
      </c>
      <c r="F32" s="14">
        <f>360+C32</f>
        <v>463.2819099</v>
      </c>
      <c r="G32" s="5" t="s">
        <v>28</v>
      </c>
    </row>
    <row r="33" ht="14.25" customHeight="1"/>
    <row r="34" ht="14.25" customHeight="1"/>
    <row r="35" ht="14.25" customHeight="1">
      <c r="B35" s="4" t="s">
        <v>29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0"/>
    <col customWidth="1" min="3" max="3" width="10.5"/>
    <col customWidth="1" min="4" max="4" width="7.63"/>
    <col customWidth="1" min="5" max="5" width="10.5"/>
    <col customWidth="1" min="6" max="7" width="7.63"/>
    <col customWidth="1" min="8" max="8" width="11.38"/>
    <col customWidth="1" min="9" max="26" width="7.63"/>
  </cols>
  <sheetData>
    <row r="1" ht="14.25" customHeight="1"/>
    <row r="2" ht="14.25" customHeight="1">
      <c r="B2" s="2" t="s">
        <v>30</v>
      </c>
      <c r="P2" s="15"/>
      <c r="Q2" s="16"/>
      <c r="R2" s="16"/>
      <c r="S2" s="16"/>
      <c r="T2" s="16"/>
      <c r="U2" s="16"/>
      <c r="V2" s="16"/>
      <c r="W2" s="17"/>
      <c r="X2" s="18"/>
      <c r="Y2" s="18"/>
      <c r="Z2" s="18"/>
    </row>
    <row r="3" ht="14.25" customHeight="1">
      <c r="B3" s="3" t="s">
        <v>31</v>
      </c>
      <c r="P3" s="19"/>
      <c r="Q3" s="20"/>
      <c r="R3" s="20"/>
      <c r="S3" s="20"/>
      <c r="T3" s="20"/>
      <c r="U3" s="20"/>
      <c r="V3" s="20"/>
      <c r="W3" s="21"/>
      <c r="X3" s="18"/>
      <c r="Y3" s="18"/>
      <c r="Z3" s="18"/>
    </row>
    <row r="4" ht="14.25" customHeight="1">
      <c r="P4" s="19"/>
      <c r="Q4" s="20"/>
      <c r="R4" s="20"/>
      <c r="S4" s="20"/>
      <c r="T4" s="20"/>
      <c r="U4" s="20"/>
      <c r="V4" s="20"/>
      <c r="W4" s="21"/>
      <c r="X4" s="18"/>
      <c r="Y4" s="18"/>
      <c r="Z4" s="18"/>
    </row>
    <row r="5" ht="14.25" customHeight="1">
      <c r="P5" s="19"/>
      <c r="Q5" s="20"/>
      <c r="R5" s="20"/>
      <c r="S5" s="20"/>
      <c r="T5" s="20"/>
      <c r="U5" s="20"/>
      <c r="V5" s="20"/>
      <c r="W5" s="21"/>
      <c r="X5" s="18"/>
      <c r="Y5" s="18"/>
      <c r="Z5" s="18"/>
    </row>
    <row r="6" ht="14.25" customHeight="1">
      <c r="P6" s="19"/>
      <c r="Q6" s="20"/>
      <c r="R6" s="20"/>
      <c r="S6" s="20"/>
      <c r="T6" s="20"/>
      <c r="U6" s="20"/>
      <c r="V6" s="20"/>
      <c r="W6" s="21"/>
      <c r="X6" s="18"/>
      <c r="Y6" s="18"/>
      <c r="Z6" s="18"/>
    </row>
    <row r="7" ht="14.25" customHeight="1">
      <c r="P7" s="19"/>
      <c r="Q7" s="20"/>
      <c r="R7" s="20"/>
      <c r="S7" s="20"/>
      <c r="T7" s="20"/>
      <c r="U7" s="20"/>
      <c r="V7" s="20"/>
      <c r="W7" s="21"/>
      <c r="X7" s="18"/>
      <c r="Y7" s="18"/>
      <c r="Z7" s="18"/>
    </row>
    <row r="8" ht="14.25" customHeight="1">
      <c r="P8" s="19"/>
      <c r="Q8" s="20"/>
      <c r="R8" s="20"/>
      <c r="S8" s="20"/>
      <c r="T8" s="20"/>
      <c r="U8" s="20"/>
      <c r="V8" s="20"/>
      <c r="W8" s="21"/>
      <c r="X8" s="18"/>
      <c r="Y8" s="18"/>
      <c r="Z8" s="18"/>
    </row>
    <row r="9" ht="14.25" customHeight="1">
      <c r="P9" s="19"/>
      <c r="Q9" s="20"/>
      <c r="R9" s="20"/>
      <c r="S9" s="20"/>
      <c r="T9" s="20"/>
      <c r="U9" s="20"/>
      <c r="V9" s="20"/>
      <c r="W9" s="21"/>
      <c r="X9" s="18"/>
      <c r="Y9" s="18"/>
      <c r="Z9" s="18"/>
    </row>
    <row r="10" ht="14.25" customHeight="1">
      <c r="P10" s="19"/>
      <c r="Q10" s="20"/>
      <c r="R10" s="20"/>
      <c r="S10" s="20"/>
      <c r="T10" s="20"/>
      <c r="U10" s="20"/>
      <c r="V10" s="20"/>
      <c r="W10" s="21"/>
      <c r="X10" s="18"/>
      <c r="Y10" s="18"/>
      <c r="Z10" s="18"/>
    </row>
    <row r="11" ht="14.25" customHeight="1">
      <c r="P11" s="19"/>
      <c r="Q11" s="20"/>
      <c r="R11" s="20"/>
      <c r="S11" s="20"/>
      <c r="T11" s="20"/>
      <c r="U11" s="20"/>
      <c r="V11" s="20"/>
      <c r="W11" s="21"/>
      <c r="X11" s="18"/>
      <c r="Y11" s="18"/>
      <c r="Z11" s="18"/>
    </row>
    <row r="12" ht="14.25" customHeight="1">
      <c r="P12" s="19"/>
      <c r="Q12" s="20"/>
      <c r="R12" s="20"/>
      <c r="S12" s="20"/>
      <c r="T12" s="20"/>
      <c r="U12" s="20"/>
      <c r="V12" s="20"/>
      <c r="W12" s="21"/>
      <c r="X12" s="18"/>
      <c r="Y12" s="18"/>
      <c r="Z12" s="18"/>
    </row>
    <row r="13" ht="14.25" customHeight="1">
      <c r="I13" s="22" t="s">
        <v>32</v>
      </c>
      <c r="J13" s="22"/>
      <c r="K13" s="22"/>
      <c r="L13" s="22"/>
      <c r="P13" s="19"/>
      <c r="Q13" s="20"/>
      <c r="R13" s="20"/>
      <c r="S13" s="20"/>
      <c r="T13" s="20"/>
      <c r="U13" s="20"/>
      <c r="V13" s="20"/>
      <c r="W13" s="21"/>
      <c r="X13" s="18"/>
      <c r="Y13" s="18"/>
      <c r="Z13" s="18"/>
    </row>
    <row r="14" ht="14.25" customHeight="1">
      <c r="I14" s="23" t="s">
        <v>33</v>
      </c>
      <c r="J14" s="24"/>
      <c r="K14" s="25" t="s">
        <v>28</v>
      </c>
      <c r="L14" s="26" t="s">
        <v>26</v>
      </c>
      <c r="P14" s="19"/>
      <c r="Q14" s="20"/>
      <c r="R14" s="20"/>
      <c r="S14" s="20"/>
      <c r="T14" s="20"/>
      <c r="U14" s="20"/>
      <c r="V14" s="20"/>
      <c r="W14" s="21"/>
      <c r="X14" s="18"/>
      <c r="Y14" s="18"/>
      <c r="Z14" s="18"/>
    </row>
    <row r="15" ht="14.25" customHeight="1">
      <c r="I15" s="27"/>
      <c r="J15" s="28"/>
      <c r="K15" s="29">
        <v>60.0</v>
      </c>
      <c r="L15" s="30">
        <f>K15*PI()/180</f>
        <v>1.047197551</v>
      </c>
      <c r="P15" s="19"/>
      <c r="Q15" s="20"/>
      <c r="R15" s="20"/>
      <c r="S15" s="20"/>
      <c r="T15" s="20"/>
      <c r="U15" s="20"/>
      <c r="V15" s="20"/>
      <c r="W15" s="21"/>
      <c r="X15" s="18"/>
      <c r="Y15" s="18"/>
      <c r="Z15" s="18"/>
    </row>
    <row r="16" ht="14.25" customHeight="1">
      <c r="I16" s="31" t="s">
        <v>34</v>
      </c>
      <c r="J16" s="32"/>
      <c r="K16" s="33" t="s">
        <v>26</v>
      </c>
      <c r="L16" s="34" t="s">
        <v>28</v>
      </c>
      <c r="P16" s="19"/>
      <c r="Q16" s="20"/>
      <c r="R16" s="20"/>
      <c r="S16" s="20"/>
      <c r="T16" s="20"/>
      <c r="U16" s="20"/>
      <c r="V16" s="20"/>
      <c r="W16" s="21"/>
      <c r="X16" s="18"/>
      <c r="Y16" s="18"/>
      <c r="Z16" s="18"/>
    </row>
    <row r="17" ht="14.25" customHeight="1">
      <c r="I17" s="27"/>
      <c r="J17" s="28"/>
      <c r="K17" s="29">
        <v>1.05</v>
      </c>
      <c r="L17" s="30">
        <f>K17*180/PI()</f>
        <v>60.16056849</v>
      </c>
      <c r="P17" s="19"/>
      <c r="Q17" s="20"/>
      <c r="R17" s="20"/>
      <c r="S17" s="20"/>
      <c r="T17" s="20"/>
      <c r="U17" s="20"/>
      <c r="V17" s="20"/>
      <c r="W17" s="21"/>
      <c r="X17" s="18"/>
      <c r="Y17" s="18"/>
      <c r="Z17" s="18"/>
    </row>
    <row r="18" ht="14.25" customHeight="1">
      <c r="P18" s="19"/>
      <c r="Q18" s="20"/>
      <c r="R18" s="20"/>
      <c r="S18" s="20"/>
      <c r="T18" s="20"/>
      <c r="U18" s="20"/>
      <c r="V18" s="20"/>
      <c r="W18" s="21"/>
      <c r="X18" s="18"/>
      <c r="Y18" s="18"/>
      <c r="Z18" s="18"/>
    </row>
    <row r="19" ht="14.25" customHeight="1">
      <c r="P19" s="19"/>
      <c r="Q19" s="20"/>
      <c r="R19" s="20"/>
      <c r="S19" s="20"/>
      <c r="T19" s="20"/>
      <c r="U19" s="20"/>
      <c r="V19" s="20"/>
      <c r="W19" s="21"/>
      <c r="X19" s="18"/>
      <c r="Y19" s="18"/>
      <c r="Z19" s="18"/>
    </row>
    <row r="20" ht="14.25" customHeight="1">
      <c r="B20" s="35" t="s">
        <v>35</v>
      </c>
      <c r="C20" s="36"/>
      <c r="D20" s="36"/>
      <c r="E20" s="36"/>
      <c r="F20" s="37"/>
      <c r="H20" s="35" t="s">
        <v>36</v>
      </c>
      <c r="I20" s="36"/>
      <c r="J20" s="36"/>
      <c r="K20" s="36"/>
      <c r="L20" s="37"/>
      <c r="P20" s="19"/>
      <c r="Q20" s="20"/>
      <c r="R20" s="20"/>
      <c r="S20" s="20"/>
      <c r="T20" s="20"/>
      <c r="U20" s="20"/>
      <c r="V20" s="20"/>
      <c r="W20" s="21"/>
      <c r="X20" s="18"/>
      <c r="Y20" s="18"/>
      <c r="Z20" s="18"/>
    </row>
    <row r="21" ht="14.25" customHeight="1">
      <c r="B21" s="38"/>
      <c r="C21" s="39"/>
      <c r="D21" s="39"/>
      <c r="E21" s="39"/>
      <c r="F21" s="40"/>
      <c r="H21" s="38"/>
      <c r="I21" s="39"/>
      <c r="J21" s="39"/>
      <c r="K21" s="39"/>
      <c r="L21" s="40"/>
      <c r="P21" s="19"/>
      <c r="Q21" s="20"/>
      <c r="R21" s="20"/>
      <c r="S21" s="20"/>
      <c r="T21" s="20"/>
      <c r="U21" s="20"/>
      <c r="V21" s="20"/>
      <c r="W21" s="21"/>
      <c r="X21" s="18"/>
      <c r="Y21" s="18"/>
      <c r="Z21" s="18"/>
    </row>
    <row r="22" ht="14.25" customHeight="1">
      <c r="B22" s="41" t="s">
        <v>37</v>
      </c>
      <c r="C22" s="18"/>
      <c r="D22" s="18"/>
      <c r="E22" s="18"/>
      <c r="F22" s="42"/>
      <c r="H22" s="41" t="s">
        <v>37</v>
      </c>
      <c r="I22" s="18"/>
      <c r="J22" s="18"/>
      <c r="K22" s="18"/>
      <c r="L22" s="42"/>
      <c r="P22" s="19"/>
      <c r="Q22" s="20"/>
      <c r="R22" s="20"/>
      <c r="S22" s="20"/>
      <c r="T22" s="20"/>
      <c r="U22" s="20"/>
      <c r="V22" s="20"/>
      <c r="W22" s="21"/>
      <c r="X22" s="18"/>
      <c r="Y22" s="18"/>
      <c r="Z22" s="18"/>
    </row>
    <row r="23" ht="14.25" customHeight="1">
      <c r="B23" s="43" t="s">
        <v>38</v>
      </c>
      <c r="C23" s="44">
        <v>0.37255</v>
      </c>
      <c r="D23" s="18"/>
      <c r="E23" s="18"/>
      <c r="F23" s="42"/>
      <c r="H23" s="45" t="s">
        <v>39</v>
      </c>
      <c r="I23" s="6">
        <v>0.0</v>
      </c>
      <c r="J23" s="18"/>
      <c r="K23" s="18"/>
      <c r="L23" s="42"/>
      <c r="P23" s="46"/>
      <c r="Q23" s="20"/>
      <c r="R23" s="20"/>
      <c r="S23" s="20"/>
      <c r="T23" s="20"/>
      <c r="U23" s="20"/>
      <c r="V23" s="20"/>
      <c r="W23" s="21"/>
      <c r="X23" s="18"/>
      <c r="Y23" s="18"/>
      <c r="Z23" s="18"/>
    </row>
    <row r="24" ht="14.25" customHeight="1">
      <c r="B24" s="43" t="s">
        <v>40</v>
      </c>
      <c r="C24" s="6">
        <v>0.38555</v>
      </c>
      <c r="D24" s="18"/>
      <c r="E24" s="18"/>
      <c r="F24" s="42"/>
      <c r="H24" s="45" t="s">
        <v>41</v>
      </c>
      <c r="I24" s="47">
        <f>3600*8</f>
        <v>28800</v>
      </c>
      <c r="J24" s="18"/>
      <c r="K24" s="18"/>
      <c r="L24" s="42"/>
      <c r="P24" s="19"/>
      <c r="Q24" s="20"/>
      <c r="R24" s="20"/>
      <c r="S24" s="20"/>
      <c r="T24" s="20"/>
      <c r="U24" s="20"/>
      <c r="V24" s="20"/>
      <c r="W24" s="21"/>
    </row>
    <row r="25" ht="14.25" customHeight="1">
      <c r="B25" s="45" t="s">
        <v>42</v>
      </c>
      <c r="C25" s="48">
        <v>50000.0</v>
      </c>
      <c r="D25" s="18"/>
      <c r="E25" s="18"/>
      <c r="F25" s="42"/>
      <c r="H25" s="45" t="s">
        <v>42</v>
      </c>
      <c r="I25" s="48">
        <v>50000.0</v>
      </c>
      <c r="J25" s="18"/>
      <c r="K25" s="18"/>
      <c r="L25" s="42"/>
      <c r="P25" s="19"/>
      <c r="Q25" s="20"/>
      <c r="R25" s="20"/>
      <c r="S25" s="20"/>
      <c r="T25" s="20"/>
      <c r="U25" s="20"/>
      <c r="V25" s="20"/>
      <c r="W25" s="21"/>
    </row>
    <row r="26" ht="14.25" customHeight="1">
      <c r="B26" s="45" t="s">
        <v>43</v>
      </c>
      <c r="C26" s="6">
        <v>398600.0</v>
      </c>
      <c r="D26" s="18"/>
      <c r="E26" s="18"/>
      <c r="F26" s="42"/>
      <c r="H26" s="45" t="s">
        <v>43</v>
      </c>
      <c r="I26" s="6">
        <v>398600.0</v>
      </c>
      <c r="J26" s="18"/>
      <c r="K26" s="18"/>
      <c r="L26" s="42"/>
      <c r="P26" s="19"/>
      <c r="Q26" s="20"/>
      <c r="R26" s="20"/>
      <c r="S26" s="20"/>
      <c r="T26" s="20"/>
      <c r="U26" s="20"/>
      <c r="V26" s="20"/>
      <c r="W26" s="21"/>
    </row>
    <row r="27" ht="14.25" customHeight="1">
      <c r="B27" s="49"/>
      <c r="C27" s="18"/>
      <c r="D27" s="18"/>
      <c r="E27" s="18"/>
      <c r="F27" s="42"/>
      <c r="H27" s="49"/>
      <c r="I27" s="18"/>
      <c r="J27" s="18"/>
      <c r="K27" s="18"/>
      <c r="L27" s="42"/>
      <c r="P27" s="46"/>
      <c r="Q27" s="50"/>
      <c r="R27" s="50"/>
      <c r="S27" s="50"/>
      <c r="T27" s="50"/>
      <c r="U27" s="50"/>
      <c r="V27" s="50"/>
      <c r="W27" s="51"/>
    </row>
    <row r="28" ht="14.25" customHeight="1">
      <c r="B28" s="41" t="s">
        <v>44</v>
      </c>
      <c r="C28" s="18"/>
      <c r="D28" s="18"/>
      <c r="E28" s="18"/>
      <c r="F28" s="42"/>
      <c r="H28" s="41" t="s">
        <v>44</v>
      </c>
      <c r="I28" s="18"/>
      <c r="J28" s="18"/>
      <c r="K28" s="18"/>
      <c r="L28" s="42"/>
    </row>
    <row r="29" ht="14.25" customHeight="1">
      <c r="B29" s="45" t="s">
        <v>45</v>
      </c>
      <c r="C29" s="52">
        <f>C25^2/C26</f>
        <v>6271.951831</v>
      </c>
      <c r="D29" s="18"/>
      <c r="E29" s="18"/>
      <c r="F29" s="42"/>
      <c r="H29" s="45" t="s">
        <v>45</v>
      </c>
      <c r="I29" s="52">
        <f>I25^2/I26</f>
        <v>6271.951831</v>
      </c>
      <c r="J29" s="18"/>
      <c r="K29" s="18"/>
      <c r="L29" s="42"/>
    </row>
    <row r="30" ht="14.25" customHeight="1">
      <c r="B30" s="49" t="s">
        <v>46</v>
      </c>
      <c r="C30" s="52">
        <f t="shared" ref="C30:C31" si="1">TAN(C23/2)</f>
        <v>0.1884598087</v>
      </c>
      <c r="D30" s="18"/>
      <c r="E30" s="18"/>
      <c r="F30" s="42"/>
      <c r="H30" s="49" t="s">
        <v>47</v>
      </c>
      <c r="I30" s="52">
        <f>3/2*SQRT(I26/(I29^3))*(I24-I23)</f>
        <v>54.90960538</v>
      </c>
      <c r="J30" s="18"/>
      <c r="K30" s="18"/>
      <c r="L30" s="42"/>
    </row>
    <row r="31" ht="14.25" customHeight="1">
      <c r="B31" s="49" t="s">
        <v>48</v>
      </c>
      <c r="C31" s="52">
        <f t="shared" si="1"/>
        <v>0.1951990202</v>
      </c>
      <c r="D31" s="18"/>
      <c r="E31" s="18"/>
      <c r="F31" s="42"/>
      <c r="G31" s="5" t="s">
        <v>49</v>
      </c>
      <c r="H31" s="49"/>
      <c r="I31" s="52">
        <f>I30+SQRT(I30^2+1)</f>
        <v>109.8283159</v>
      </c>
      <c r="J31" s="18"/>
      <c r="K31" s="18"/>
      <c r="L31" s="42"/>
    </row>
    <row r="32" ht="14.25" customHeight="1">
      <c r="B32" s="49"/>
      <c r="C32" s="18"/>
      <c r="D32" s="18"/>
      <c r="E32" s="18"/>
      <c r="F32" s="42"/>
      <c r="H32" s="49" t="s">
        <v>50</v>
      </c>
      <c r="I32" s="52">
        <f>POWER(I31,1/3)</f>
        <v>4.788925799</v>
      </c>
      <c r="J32" s="18"/>
      <c r="K32" s="18"/>
      <c r="L32" s="42"/>
    </row>
    <row r="33" ht="14.25" customHeight="1">
      <c r="B33" s="41" t="s">
        <v>51</v>
      </c>
      <c r="C33" s="18"/>
      <c r="D33" s="18"/>
      <c r="E33" s="18"/>
      <c r="F33" s="42"/>
      <c r="H33" s="49"/>
      <c r="I33" s="18"/>
      <c r="J33" s="18"/>
      <c r="K33" s="18"/>
      <c r="L33" s="42"/>
    </row>
    <row r="34" ht="14.25" customHeight="1">
      <c r="B34" s="53" t="s">
        <v>52</v>
      </c>
      <c r="C34" s="54">
        <f>0.5*SQRT(C29^3/C26)*(C31+C31^3/3-C30-C30^3/3)</f>
        <v>2.748593225</v>
      </c>
      <c r="D34" s="55"/>
      <c r="E34" s="55"/>
      <c r="F34" s="56"/>
      <c r="H34" s="57" t="s">
        <v>53</v>
      </c>
      <c r="I34" s="54">
        <f>2*ATAN(I32-(1/I32))</f>
        <v>2.711668782</v>
      </c>
      <c r="J34" s="55"/>
      <c r="K34" s="55"/>
      <c r="L34" s="56"/>
    </row>
    <row r="35" ht="14.25" customHeight="1"/>
    <row r="36" ht="14.25" customHeight="1"/>
    <row r="37" ht="14.25" customHeight="1">
      <c r="B37" s="5" t="s">
        <v>54</v>
      </c>
      <c r="C37" s="5">
        <v>200.0</v>
      </c>
      <c r="D37" s="5" t="s">
        <v>55</v>
      </c>
      <c r="F37" s="5" t="s">
        <v>56</v>
      </c>
      <c r="G37" s="5">
        <v>398600.0</v>
      </c>
    </row>
    <row r="38" ht="14.25" customHeight="1">
      <c r="B38" s="5" t="s">
        <v>57</v>
      </c>
      <c r="C38" s="5">
        <f>6378+C37</f>
        <v>6578</v>
      </c>
      <c r="D38" s="5" t="s">
        <v>55</v>
      </c>
    </row>
    <row r="39" ht="14.25" customHeight="1"/>
    <row r="40" ht="14.25" customHeight="1">
      <c r="B40" s="5" t="s">
        <v>58</v>
      </c>
      <c r="C40" s="5">
        <f>SQRT((2*G37)/C38)</f>
        <v>11.00871707</v>
      </c>
    </row>
    <row r="41" ht="14.25" customHeight="1"/>
    <row r="42" ht="14.25" customHeight="1">
      <c r="B42" s="5" t="s">
        <v>59</v>
      </c>
      <c r="C42" s="5">
        <f>C40*C38</f>
        <v>72415.34092</v>
      </c>
    </row>
    <row r="43" ht="14.25" customHeight="1"/>
    <row r="44" ht="14.25" customHeight="1">
      <c r="B44" s="5" t="s">
        <v>60</v>
      </c>
      <c r="C44" s="58">
        <v>3.1813E-4</v>
      </c>
      <c r="D44" s="5" t="s">
        <v>26</v>
      </c>
      <c r="E44" s="5">
        <f>DEGREES(C44)</f>
        <v>0.01822750634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I14:J15"/>
    <mergeCell ref="I16:J1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38"/>
    <col customWidth="1" min="3" max="3" width="18.63"/>
    <col customWidth="1" min="4" max="4" width="11.38"/>
    <col customWidth="1" min="5" max="26" width="7.63"/>
  </cols>
  <sheetData>
    <row r="1" ht="14.25" customHeight="1"/>
    <row r="2" ht="14.25" customHeight="1"/>
    <row r="3" ht="14.25" customHeight="1">
      <c r="B3" s="59" t="s">
        <v>61</v>
      </c>
      <c r="C3" s="59"/>
      <c r="D3" s="59"/>
    </row>
    <row r="4" ht="14.25" customHeight="1">
      <c r="B4" s="2" t="s">
        <v>62</v>
      </c>
    </row>
    <row r="5" ht="14.25" customHeight="1">
      <c r="B5" s="4" t="s">
        <v>63</v>
      </c>
    </row>
    <row r="6" ht="14.25" customHeight="1"/>
    <row r="7" ht="14.25" customHeight="1">
      <c r="B7" s="5" t="s">
        <v>3</v>
      </c>
      <c r="C7" s="5">
        <v>12649.809</v>
      </c>
      <c r="D7" s="5" t="s">
        <v>64</v>
      </c>
    </row>
    <row r="8" ht="14.25" customHeight="1">
      <c r="B8" s="5" t="s">
        <v>4</v>
      </c>
      <c r="D8" s="5" t="s">
        <v>55</v>
      </c>
    </row>
    <row r="9" ht="14.25" customHeight="1">
      <c r="B9" s="5" t="s">
        <v>5</v>
      </c>
      <c r="C9" s="5">
        <v>11155.048</v>
      </c>
      <c r="D9" s="5" t="s">
        <v>55</v>
      </c>
    </row>
    <row r="10" ht="14.25" customHeight="1">
      <c r="B10" s="5" t="s">
        <v>6</v>
      </c>
      <c r="C10" s="5">
        <f>(C8+C9)/2</f>
        <v>5577.524</v>
      </c>
      <c r="D10" s="5" t="s">
        <v>55</v>
      </c>
    </row>
    <row r="11" ht="14.25" customHeight="1">
      <c r="B11" s="5" t="s">
        <v>7</v>
      </c>
      <c r="C11" s="5">
        <v>1.7991</v>
      </c>
    </row>
    <row r="12" ht="14.25" customHeight="1">
      <c r="B12" s="5" t="s">
        <v>8</v>
      </c>
      <c r="C12" s="5">
        <f>(2*PI()/SQRT(398600))*C10^(3/2)</f>
        <v>4145.466336</v>
      </c>
    </row>
    <row r="13" ht="14.25" customHeight="1">
      <c r="B13" s="5" t="s">
        <v>9</v>
      </c>
      <c r="C13" s="5">
        <f>2*PI()*(C7/C12)</f>
        <v>19.1730164</v>
      </c>
    </row>
    <row r="14" ht="14.25" customHeight="1"/>
    <row r="15" ht="14.25" customHeight="1">
      <c r="B15" s="5" t="s">
        <v>7</v>
      </c>
      <c r="C15" s="60">
        <v>1.7991</v>
      </c>
    </row>
    <row r="16" ht="14.25" customHeight="1">
      <c r="B16" s="5" t="s">
        <v>9</v>
      </c>
      <c r="C16" s="60">
        <v>4.8422</v>
      </c>
      <c r="D16" s="61" t="s">
        <v>65</v>
      </c>
    </row>
    <row r="17" ht="14.25" customHeight="1"/>
    <row r="18" ht="14.25" customHeight="1">
      <c r="C18" s="7" t="s">
        <v>66</v>
      </c>
      <c r="D18" s="7" t="s">
        <v>67</v>
      </c>
    </row>
    <row r="19" ht="14.25" customHeight="1">
      <c r="B19" s="5" t="s">
        <v>68</v>
      </c>
      <c r="C19" s="8" t="str">
        <f>I22</f>
        <v/>
      </c>
      <c r="D19" s="9">
        <f t="shared" ref="D19:D29" si="1">(C$15*SINH(C19)-C19-C$16)/(C$15*COSH(C19)-1)</f>
        <v>-6.059567013</v>
      </c>
    </row>
    <row r="20" ht="14.25" customHeight="1">
      <c r="B20" s="5" t="s">
        <v>69</v>
      </c>
      <c r="C20" s="10">
        <f>C19-(C$15*SINH(C19)-C19-C16)/(C$15*COSH(C19)-1)</f>
        <v>6.059567013</v>
      </c>
      <c r="D20" s="9">
        <f t="shared" si="1"/>
        <v>0.9742153208</v>
      </c>
      <c r="H20" s="4"/>
    </row>
    <row r="21" ht="14.25" customHeight="1">
      <c r="B21" s="5" t="s">
        <v>70</v>
      </c>
      <c r="C21" s="10">
        <f t="shared" ref="C21:C29" si="2">C20-(C$15*SINH(C20)-C20-C$16)/(C$15*COSH(C20)-1)</f>
        <v>5.085351692</v>
      </c>
      <c r="D21" s="9">
        <f t="shared" si="1"/>
        <v>0.9381003093</v>
      </c>
    </row>
    <row r="22" ht="14.25" customHeight="1">
      <c r="B22" s="5" t="s">
        <v>71</v>
      </c>
      <c r="C22" s="10">
        <f t="shared" si="2"/>
        <v>4.147251383</v>
      </c>
      <c r="D22" s="9">
        <f t="shared" si="1"/>
        <v>0.8566176393</v>
      </c>
      <c r="I22" s="62"/>
    </row>
    <row r="23" ht="14.25" customHeight="1">
      <c r="B23" s="5" t="s">
        <v>72</v>
      </c>
      <c r="C23" s="10">
        <f t="shared" si="2"/>
        <v>3.290633743</v>
      </c>
      <c r="D23" s="9">
        <f t="shared" si="1"/>
        <v>0.6896002241</v>
      </c>
    </row>
    <row r="24" ht="14.25" customHeight="1">
      <c r="B24" s="5" t="s">
        <v>73</v>
      </c>
      <c r="C24" s="10">
        <f t="shared" si="2"/>
        <v>2.601033519</v>
      </c>
      <c r="D24" s="9">
        <f t="shared" si="1"/>
        <v>0.4122980977</v>
      </c>
    </row>
    <row r="25" ht="14.25" customHeight="1">
      <c r="B25" s="5" t="s">
        <v>74</v>
      </c>
      <c r="C25" s="10">
        <f t="shared" si="2"/>
        <v>2.188735422</v>
      </c>
      <c r="D25" s="9">
        <f t="shared" si="1"/>
        <v>0.1256644192</v>
      </c>
    </row>
    <row r="26" ht="14.25" customHeight="1">
      <c r="B26" s="5" t="s">
        <v>75</v>
      </c>
      <c r="C26" s="10">
        <f t="shared" si="2"/>
        <v>2.063071002</v>
      </c>
      <c r="D26" s="9">
        <f t="shared" si="1"/>
        <v>0.009683709464</v>
      </c>
    </row>
    <row r="27" ht="14.25" customHeight="1">
      <c r="B27" s="5" t="s">
        <v>76</v>
      </c>
      <c r="C27" s="10">
        <f t="shared" si="2"/>
        <v>2.053387293</v>
      </c>
      <c r="D27" s="9">
        <f t="shared" si="1"/>
        <v>0.00005312685977</v>
      </c>
    </row>
    <row r="28" ht="14.25" customHeight="1">
      <c r="B28" s="5" t="s">
        <v>77</v>
      </c>
      <c r="C28" s="10">
        <f t="shared" si="2"/>
        <v>2.053334166</v>
      </c>
      <c r="D28" s="9">
        <f t="shared" si="1"/>
        <v>0.000000001588469392</v>
      </c>
    </row>
    <row r="29" ht="14.25" customHeight="1">
      <c r="B29" s="5" t="s">
        <v>78</v>
      </c>
      <c r="C29" s="63">
        <f t="shared" si="2"/>
        <v>2.053334164</v>
      </c>
      <c r="D29" s="9">
        <f t="shared" si="1"/>
        <v>0</v>
      </c>
    </row>
    <row r="30" ht="14.25" customHeight="1"/>
    <row r="31" ht="14.25" customHeight="1">
      <c r="B31" s="5" t="s">
        <v>25</v>
      </c>
      <c r="C31" s="64">
        <f>2*ATAN(SQRT((C15+1)/(C15-1))*TANH(C29/2))</f>
        <v>1.931461384</v>
      </c>
      <c r="D31" s="5" t="s">
        <v>79</v>
      </c>
    </row>
    <row r="32" ht="14.25" customHeight="1">
      <c r="C32" s="65">
        <f>DEGREES(C31)</f>
        <v>110.6645856</v>
      </c>
      <c r="D32" s="5" t="s">
        <v>80</v>
      </c>
      <c r="E32" s="5" t="s">
        <v>81</v>
      </c>
      <c r="F32" s="5">
        <f>360+C32</f>
        <v>470.6645856</v>
      </c>
      <c r="G32" s="5" t="s">
        <v>80</v>
      </c>
    </row>
    <row r="33" ht="14.25" customHeight="1">
      <c r="C33" s="66" t="s">
        <v>82</v>
      </c>
    </row>
    <row r="34" ht="14.25" customHeight="1"/>
    <row r="35" ht="14.25" customHeight="1"/>
    <row r="36" ht="14.25" customHeight="1">
      <c r="B36" s="67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8"/>
      <c r="B1" s="68"/>
      <c r="C1" s="68"/>
    </row>
    <row r="2" ht="15.75" customHeight="1">
      <c r="B2" s="69" t="s">
        <v>83</v>
      </c>
      <c r="C2" s="70"/>
      <c r="D2" s="70"/>
      <c r="E2" s="70"/>
      <c r="F2" s="70"/>
      <c r="G2" s="70"/>
      <c r="H2" s="70"/>
      <c r="I2" s="70"/>
      <c r="J2" s="70"/>
      <c r="K2" s="70"/>
      <c r="L2" s="71"/>
    </row>
    <row r="3" ht="15.75" customHeight="1">
      <c r="B3" s="72" t="s">
        <v>43</v>
      </c>
      <c r="C3" s="73"/>
      <c r="D3" s="74">
        <v>398600.0</v>
      </c>
      <c r="F3" s="75" t="s">
        <v>84</v>
      </c>
      <c r="G3" s="76" t="s">
        <v>85</v>
      </c>
      <c r="H3" s="76"/>
      <c r="I3" s="76"/>
      <c r="L3" s="77"/>
    </row>
    <row r="4" ht="15.75" customHeight="1">
      <c r="B4" s="72" t="s">
        <v>86</v>
      </c>
      <c r="C4" s="73"/>
      <c r="D4" s="74">
        <v>6378.0</v>
      </c>
      <c r="G4" s="78" t="s">
        <v>87</v>
      </c>
      <c r="H4" s="79"/>
      <c r="I4" s="79"/>
      <c r="L4" s="77"/>
    </row>
    <row r="5" ht="15.75" customHeight="1">
      <c r="B5" s="80"/>
      <c r="L5" s="77"/>
    </row>
    <row r="6" ht="15.75" customHeight="1">
      <c r="B6" s="81" t="s">
        <v>88</v>
      </c>
      <c r="C6" s="82"/>
      <c r="D6" s="83"/>
      <c r="E6" s="84" t="s">
        <v>89</v>
      </c>
      <c r="F6" s="82"/>
      <c r="G6" s="83"/>
      <c r="H6" s="84" t="s">
        <v>90</v>
      </c>
      <c r="I6" s="83"/>
      <c r="L6" s="77"/>
    </row>
    <row r="7" ht="15.75" customHeight="1">
      <c r="B7" s="85"/>
      <c r="C7" s="86"/>
      <c r="D7" s="87"/>
      <c r="E7" s="88"/>
      <c r="F7" s="86"/>
      <c r="G7" s="87"/>
      <c r="H7" s="88" t="s">
        <v>59</v>
      </c>
      <c r="I7" s="87"/>
      <c r="J7" s="89" t="s">
        <v>91</v>
      </c>
      <c r="K7" s="90"/>
      <c r="L7" s="77"/>
    </row>
    <row r="8" ht="15.75" customHeight="1">
      <c r="B8" s="91"/>
      <c r="C8" s="92">
        <v>10000.0</v>
      </c>
      <c r="D8" s="93" t="s">
        <v>92</v>
      </c>
      <c r="E8" s="94" t="s">
        <v>93</v>
      </c>
      <c r="F8" s="95">
        <f>SQRT(C8^2+C9^2+C10^2)</f>
        <v>11180.33989</v>
      </c>
      <c r="G8" s="93"/>
      <c r="H8" s="94"/>
      <c r="I8" s="96">
        <f>C9*C14-C10*C13</f>
        <v>10000</v>
      </c>
      <c r="J8" s="97"/>
      <c r="K8" s="98">
        <f>(C13*I10-C14*I9)/D3-C8/F8</f>
        <v>-0.1167051639</v>
      </c>
      <c r="L8" s="77"/>
    </row>
    <row r="9" ht="15.75" customHeight="1">
      <c r="B9" s="91" t="s">
        <v>94</v>
      </c>
      <c r="C9" s="92">
        <v>5000.0</v>
      </c>
      <c r="D9" s="99" t="s">
        <v>95</v>
      </c>
      <c r="E9" s="94"/>
      <c r="F9" s="68"/>
      <c r="G9" s="93"/>
      <c r="H9" s="100" t="s">
        <v>96</v>
      </c>
      <c r="I9" s="96">
        <f>C10*C12-C8*C14</f>
        <v>-20000</v>
      </c>
      <c r="J9" s="101" t="s">
        <v>97</v>
      </c>
      <c r="K9" s="98">
        <f>(C14*I8-C12*I10)/D3-C9/F8</f>
        <v>-0.7357233797</v>
      </c>
      <c r="L9" s="77"/>
    </row>
    <row r="10" ht="15.75" customHeight="1">
      <c r="B10" s="91"/>
      <c r="C10" s="92">
        <v>0.0</v>
      </c>
      <c r="D10" s="99" t="s">
        <v>98</v>
      </c>
      <c r="E10" s="94"/>
      <c r="F10" s="68"/>
      <c r="G10" s="93"/>
      <c r="H10" s="94"/>
      <c r="I10" s="96">
        <f>C8*C13-C9*C12</f>
        <v>45000</v>
      </c>
      <c r="J10" s="97"/>
      <c r="K10" s="98">
        <f>(C12*I9-C13*I8)/D3-C10/F8</f>
        <v>-0.3010536879</v>
      </c>
      <c r="L10" s="77"/>
    </row>
    <row r="11" ht="15.75" customHeight="1">
      <c r="B11" s="91"/>
      <c r="C11" s="68"/>
      <c r="D11" s="93"/>
      <c r="E11" s="94"/>
      <c r="F11" s="68"/>
      <c r="G11" s="93"/>
      <c r="H11" s="94"/>
      <c r="I11" s="93"/>
      <c r="J11" s="97"/>
      <c r="K11" s="102"/>
      <c r="L11" s="77"/>
    </row>
    <row r="12" ht="15.75" customHeight="1">
      <c r="B12" s="91"/>
      <c r="C12" s="92">
        <v>3.0</v>
      </c>
      <c r="D12" s="93" t="s">
        <v>99</v>
      </c>
      <c r="E12" s="94" t="s">
        <v>100</v>
      </c>
      <c r="F12" s="95">
        <f>SQRT(C12^2+C13^2+C14^2)</f>
        <v>7</v>
      </c>
      <c r="G12" s="93"/>
      <c r="H12" s="94"/>
      <c r="I12" s="93"/>
      <c r="J12" s="97"/>
      <c r="K12" s="102"/>
      <c r="L12" s="77"/>
    </row>
    <row r="13" ht="15.75" customHeight="1">
      <c r="B13" s="91" t="s">
        <v>101</v>
      </c>
      <c r="C13" s="92">
        <v>6.0</v>
      </c>
      <c r="D13" s="99" t="s">
        <v>102</v>
      </c>
      <c r="E13" s="94"/>
      <c r="F13" s="68"/>
      <c r="G13" s="93"/>
      <c r="H13" s="103" t="s">
        <v>103</v>
      </c>
      <c r="I13" s="96">
        <f>SQRT(I8^2+I9^2+I10^2)</f>
        <v>50249.37811</v>
      </c>
      <c r="J13" s="104" t="s">
        <v>104</v>
      </c>
      <c r="K13" s="98">
        <f>SQRT(K8^2+K9^2+K10^2)</f>
        <v>0.8034564766</v>
      </c>
      <c r="L13" s="77"/>
    </row>
    <row r="14" ht="15.75" customHeight="1">
      <c r="B14" s="91"/>
      <c r="C14" s="92">
        <v>2.0</v>
      </c>
      <c r="D14" s="99" t="s">
        <v>105</v>
      </c>
      <c r="E14" s="94"/>
      <c r="F14" s="68"/>
      <c r="G14" s="93"/>
      <c r="H14" s="103"/>
      <c r="I14" s="93"/>
      <c r="J14" s="97"/>
      <c r="K14" s="102"/>
      <c r="L14" s="77"/>
    </row>
    <row r="15" ht="15.75" customHeight="1">
      <c r="B15" s="91"/>
      <c r="C15" s="68"/>
      <c r="D15" s="93"/>
      <c r="E15" s="94"/>
      <c r="F15" s="68"/>
      <c r="G15" s="93"/>
      <c r="H15" s="94"/>
      <c r="I15" s="93"/>
      <c r="J15" s="97"/>
      <c r="K15" s="102"/>
      <c r="L15" s="77"/>
    </row>
    <row r="16" ht="15.75" customHeight="1">
      <c r="B16" s="105" t="s">
        <v>106</v>
      </c>
      <c r="C16" s="106">
        <v>3600.0</v>
      </c>
      <c r="D16" s="107" t="s">
        <v>107</v>
      </c>
      <c r="E16" s="108"/>
      <c r="F16" s="109"/>
      <c r="G16" s="107"/>
      <c r="H16" s="108"/>
      <c r="I16" s="107"/>
      <c r="J16" s="108"/>
      <c r="K16" s="107"/>
      <c r="L16" s="77"/>
    </row>
    <row r="17" ht="15.75" customHeight="1">
      <c r="B17" s="80"/>
      <c r="L17" s="77"/>
    </row>
    <row r="18" ht="15.75" customHeight="1">
      <c r="B18" s="80" t="s">
        <v>108</v>
      </c>
      <c r="C18" s="110">
        <f>(C8*C12+C9*C13+C10*C14)/F8</f>
        <v>5.366563146</v>
      </c>
      <c r="E18" s="111" t="s">
        <v>109</v>
      </c>
      <c r="F18" s="112"/>
      <c r="G18" s="112"/>
      <c r="H18" s="112"/>
      <c r="I18" s="112"/>
      <c r="J18" s="112"/>
      <c r="K18" s="112"/>
      <c r="L18" s="113"/>
    </row>
    <row r="19" ht="15.75" customHeight="1">
      <c r="B19" s="80" t="s">
        <v>110</v>
      </c>
      <c r="C19" s="114">
        <f>2/F8-F12^2/D3</f>
        <v>0.0000559551823</v>
      </c>
      <c r="E19" s="115" t="s">
        <v>111</v>
      </c>
      <c r="F19" s="116" t="s">
        <v>112</v>
      </c>
      <c r="G19" s="116" t="s">
        <v>113</v>
      </c>
      <c r="H19" s="116" t="s">
        <v>114</v>
      </c>
      <c r="I19" s="117" t="s">
        <v>115</v>
      </c>
      <c r="J19" s="116" t="s">
        <v>116</v>
      </c>
      <c r="K19" s="116" t="s">
        <v>117</v>
      </c>
      <c r="L19" s="118" t="s">
        <v>118</v>
      </c>
    </row>
    <row r="20" ht="15.75" customHeight="1">
      <c r="B20" s="80"/>
      <c r="E20" s="97">
        <v>0.0</v>
      </c>
      <c r="F20" s="119">
        <f>SQRT(D$3)*ABS(C$19)*C$16</f>
        <v>127.1778454</v>
      </c>
      <c r="G20" s="119">
        <f t="shared" ref="G20:G30" si="1">C$19*F20^2</f>
        <v>0.9050305533</v>
      </c>
      <c r="H20" s="119">
        <f t="shared" ref="H20:H30" si="2">IF(G20&gt;0,((SQRT(G20)-SIN(SQRT(G20)))/(SQRT(G20))^3),IF(G20&lt;0,
((SINH(SQRT(-G20))-SQRT(-G20))/(SQRT(-G20))^3),
1/6))</f>
        <v>0.1592852352</v>
      </c>
      <c r="I20" s="119">
        <f t="shared" ref="I20:I30" si="3">IF(G20&gt;0,((1-COS(SQRT(G20)))/(G20)), IF(G20&lt;0,((COSH(SQRT(-G20))-1)/(-G20)),1/2))</f>
        <v>0.4634098035</v>
      </c>
      <c r="J20" s="119">
        <f t="shared" ref="J20:J30" si="4">($F$8*$C$18)/SQRT($D$3)*F20^2*I20+(1-$C$19*$F$8)*F20^3*H20+$F$8*F20-SQRT($D$3)*$C$16</f>
        <v>-15974.86366</v>
      </c>
      <c r="K20" s="119">
        <f t="shared" ref="K20:K30" si="5">($F$8*$C$18)/SQRT($D$3)*F20*(1-G20*H20)+(1-C$19*F$8)*F20^2*I20+$F$8</f>
        <v>24330.56955</v>
      </c>
      <c r="L20" s="102">
        <f t="shared" ref="L20:L30" si="6">J20/K20</f>
        <v>-0.6565758203</v>
      </c>
    </row>
    <row r="21" ht="15.75" customHeight="1">
      <c r="B21" s="80"/>
      <c r="E21" s="97">
        <v>1.0</v>
      </c>
      <c r="F21" s="119">
        <f t="shared" ref="F21:F30" si="7">F20-L20</f>
        <v>127.8344212</v>
      </c>
      <c r="G21" s="119">
        <f t="shared" si="1"/>
        <v>0.914399403</v>
      </c>
      <c r="H21" s="119">
        <f t="shared" si="2"/>
        <v>0.1592104802</v>
      </c>
      <c r="I21" s="119">
        <f t="shared" si="3"/>
        <v>0.4630425405</v>
      </c>
      <c r="J21" s="119">
        <f t="shared" si="4"/>
        <v>20.65993908</v>
      </c>
      <c r="K21" s="119">
        <f t="shared" si="5"/>
        <v>24393.47583</v>
      </c>
      <c r="L21" s="102">
        <f t="shared" si="6"/>
        <v>0.0008469452744</v>
      </c>
    </row>
    <row r="22" ht="15.75" customHeight="1">
      <c r="B22" s="80"/>
      <c r="E22" s="97">
        <v>2.0</v>
      </c>
      <c r="F22" s="119">
        <f t="shared" si="7"/>
        <v>127.8335743</v>
      </c>
      <c r="G22" s="119">
        <f t="shared" si="1"/>
        <v>0.9143872866</v>
      </c>
      <c r="H22" s="119">
        <f t="shared" si="2"/>
        <v>0.1592105769</v>
      </c>
      <c r="I22" s="119">
        <f t="shared" si="3"/>
        <v>0.4630430154</v>
      </c>
      <c r="J22" s="119">
        <f t="shared" si="4"/>
        <v>0.0000343201682</v>
      </c>
      <c r="K22" s="119">
        <f t="shared" si="5"/>
        <v>24393.39479</v>
      </c>
      <c r="L22" s="102">
        <f t="shared" si="6"/>
        <v>0.000000001406945138</v>
      </c>
    </row>
    <row r="23" ht="15.75" customHeight="1">
      <c r="B23" s="80"/>
      <c r="E23" s="97">
        <v>3.0</v>
      </c>
      <c r="F23" s="119">
        <f t="shared" si="7"/>
        <v>127.8335743</v>
      </c>
      <c r="G23" s="119">
        <f t="shared" si="1"/>
        <v>0.9143872866</v>
      </c>
      <c r="H23" s="119">
        <f t="shared" si="2"/>
        <v>0.1592105769</v>
      </c>
      <c r="I23" s="119">
        <f t="shared" si="3"/>
        <v>0.4630430154</v>
      </c>
      <c r="J23" s="119">
        <f t="shared" si="4"/>
        <v>-0.0000000004656612873</v>
      </c>
      <c r="K23" s="119">
        <f t="shared" si="5"/>
        <v>24393.39479</v>
      </c>
      <c r="L23" s="102">
        <f t="shared" si="6"/>
        <v>0</v>
      </c>
    </row>
    <row r="24" ht="15.75" customHeight="1">
      <c r="B24" s="80"/>
      <c r="E24" s="97">
        <v>4.0</v>
      </c>
      <c r="F24" s="119">
        <f t="shared" si="7"/>
        <v>127.8335743</v>
      </c>
      <c r="G24" s="119">
        <f t="shared" si="1"/>
        <v>0.9143872866</v>
      </c>
      <c r="H24" s="119">
        <f t="shared" si="2"/>
        <v>0.1592105769</v>
      </c>
      <c r="I24" s="119">
        <f t="shared" si="3"/>
        <v>0.4630430154</v>
      </c>
      <c r="J24" s="119">
        <f t="shared" si="4"/>
        <v>0</v>
      </c>
      <c r="K24" s="119">
        <f t="shared" si="5"/>
        <v>24393.39479</v>
      </c>
      <c r="L24" s="102">
        <f t="shared" si="6"/>
        <v>0</v>
      </c>
    </row>
    <row r="25" ht="15.75" customHeight="1">
      <c r="B25" s="80"/>
      <c r="E25" s="97">
        <v>5.0</v>
      </c>
      <c r="F25" s="119">
        <f t="shared" si="7"/>
        <v>127.8335743</v>
      </c>
      <c r="G25" s="119">
        <f t="shared" si="1"/>
        <v>0.9143872866</v>
      </c>
      <c r="H25" s="119">
        <f t="shared" si="2"/>
        <v>0.1592105769</v>
      </c>
      <c r="I25" s="119">
        <f t="shared" si="3"/>
        <v>0.4630430154</v>
      </c>
      <c r="J25" s="119">
        <f t="shared" si="4"/>
        <v>0</v>
      </c>
      <c r="K25" s="119">
        <f t="shared" si="5"/>
        <v>24393.39479</v>
      </c>
      <c r="L25" s="102">
        <f t="shared" si="6"/>
        <v>0</v>
      </c>
    </row>
    <row r="26" ht="15.75" customHeight="1">
      <c r="B26" s="80"/>
      <c r="E26" s="97">
        <v>6.0</v>
      </c>
      <c r="F26" s="119">
        <f t="shared" si="7"/>
        <v>127.8335743</v>
      </c>
      <c r="G26" s="119">
        <f t="shared" si="1"/>
        <v>0.9143872866</v>
      </c>
      <c r="H26" s="119">
        <f t="shared" si="2"/>
        <v>0.1592105769</v>
      </c>
      <c r="I26" s="119">
        <f t="shared" si="3"/>
        <v>0.4630430154</v>
      </c>
      <c r="J26" s="119">
        <f t="shared" si="4"/>
        <v>0</v>
      </c>
      <c r="K26" s="119">
        <f t="shared" si="5"/>
        <v>24393.39479</v>
      </c>
      <c r="L26" s="102">
        <f t="shared" si="6"/>
        <v>0</v>
      </c>
    </row>
    <row r="27" ht="15.75" customHeight="1">
      <c r="B27" s="80"/>
      <c r="E27" s="97">
        <v>7.0</v>
      </c>
      <c r="F27" s="119">
        <f t="shared" si="7"/>
        <v>127.8335743</v>
      </c>
      <c r="G27" s="119">
        <f t="shared" si="1"/>
        <v>0.9143872866</v>
      </c>
      <c r="H27" s="119">
        <f t="shared" si="2"/>
        <v>0.1592105769</v>
      </c>
      <c r="I27" s="119">
        <f t="shared" si="3"/>
        <v>0.4630430154</v>
      </c>
      <c r="J27" s="119">
        <f t="shared" si="4"/>
        <v>0</v>
      </c>
      <c r="K27" s="119">
        <f t="shared" si="5"/>
        <v>24393.39479</v>
      </c>
      <c r="L27" s="102">
        <f t="shared" si="6"/>
        <v>0</v>
      </c>
    </row>
    <row r="28" ht="15.75" customHeight="1">
      <c r="B28" s="80"/>
      <c r="E28" s="97">
        <v>8.0</v>
      </c>
      <c r="F28" s="119">
        <f t="shared" si="7"/>
        <v>127.8335743</v>
      </c>
      <c r="G28" s="119">
        <f t="shared" si="1"/>
        <v>0.9143872866</v>
      </c>
      <c r="H28" s="119">
        <f t="shared" si="2"/>
        <v>0.1592105769</v>
      </c>
      <c r="I28" s="119">
        <f t="shared" si="3"/>
        <v>0.4630430154</v>
      </c>
      <c r="J28" s="119">
        <f t="shared" si="4"/>
        <v>0</v>
      </c>
      <c r="K28" s="119">
        <f t="shared" si="5"/>
        <v>24393.39479</v>
      </c>
      <c r="L28" s="102">
        <f t="shared" si="6"/>
        <v>0</v>
      </c>
    </row>
    <row r="29" ht="15.75" customHeight="1">
      <c r="B29" s="80"/>
      <c r="E29" s="97">
        <v>9.0</v>
      </c>
      <c r="F29" s="119">
        <f t="shared" si="7"/>
        <v>127.8335743</v>
      </c>
      <c r="G29" s="119">
        <f t="shared" si="1"/>
        <v>0.9143872866</v>
      </c>
      <c r="H29" s="119">
        <f t="shared" si="2"/>
        <v>0.1592105769</v>
      </c>
      <c r="I29" s="119">
        <f t="shared" si="3"/>
        <v>0.4630430154</v>
      </c>
      <c r="J29" s="119">
        <f t="shared" si="4"/>
        <v>0</v>
      </c>
      <c r="K29" s="119">
        <f t="shared" si="5"/>
        <v>24393.39479</v>
      </c>
      <c r="L29" s="102">
        <f t="shared" si="6"/>
        <v>0</v>
      </c>
    </row>
    <row r="30" ht="15.75" customHeight="1">
      <c r="B30" s="80"/>
      <c r="E30" s="120" t="s">
        <v>119</v>
      </c>
      <c r="F30" s="121">
        <f t="shared" si="7"/>
        <v>127.8335743</v>
      </c>
      <c r="G30" s="121">
        <f t="shared" si="1"/>
        <v>0.9143872866</v>
      </c>
      <c r="H30" s="121">
        <f t="shared" si="2"/>
        <v>0.1592105769</v>
      </c>
      <c r="I30" s="121">
        <f t="shared" si="3"/>
        <v>0.4630430154</v>
      </c>
      <c r="J30" s="109">
        <f t="shared" si="4"/>
        <v>0</v>
      </c>
      <c r="K30" s="109">
        <f t="shared" si="5"/>
        <v>24393.39479</v>
      </c>
      <c r="L30" s="107">
        <f t="shared" si="6"/>
        <v>0</v>
      </c>
    </row>
    <row r="31" ht="15.75" customHeight="1">
      <c r="B31" s="80"/>
      <c r="E31" s="122" t="s">
        <v>120</v>
      </c>
      <c r="L31" s="77"/>
    </row>
    <row r="32" ht="15.75" customHeight="1">
      <c r="B32" s="80"/>
      <c r="E32" s="122" t="s">
        <v>121</v>
      </c>
      <c r="L32" s="77"/>
    </row>
    <row r="33" ht="15.75" customHeight="1">
      <c r="B33" s="80"/>
      <c r="E33" s="123" t="s">
        <v>122</v>
      </c>
      <c r="F33" s="124"/>
      <c r="G33" s="124"/>
      <c r="H33" s="124"/>
      <c r="I33" s="125"/>
      <c r="L33" s="77"/>
    </row>
    <row r="34" ht="15.75" customHeight="1">
      <c r="B34" s="126" t="s">
        <v>123</v>
      </c>
      <c r="E34" s="127" t="s">
        <v>124</v>
      </c>
      <c r="I34" s="77"/>
      <c r="L34" s="77"/>
    </row>
    <row r="35" ht="15.75" customHeight="1">
      <c r="B35" s="80" t="s">
        <v>125</v>
      </c>
      <c r="C35" s="114">
        <f>1-(F30^2)/(F8)*I30</f>
        <v>0.3232064748</v>
      </c>
      <c r="E35" s="80"/>
      <c r="F35" s="128">
        <f t="shared" ref="F35:F37" si="8">C$35*C8+C$36*C12</f>
        <v>10823.82027</v>
      </c>
      <c r="I35" s="77"/>
      <c r="L35" s="77"/>
    </row>
    <row r="36" ht="15.75" customHeight="1">
      <c r="B36" s="80" t="s">
        <v>126</v>
      </c>
      <c r="C36" s="114">
        <f>C16-1/SQRT(D3)*F30^3*C35</f>
        <v>2530.585172</v>
      </c>
      <c r="E36" s="129" t="s">
        <v>127</v>
      </c>
      <c r="F36" s="128">
        <f t="shared" si="8"/>
        <v>16799.54341</v>
      </c>
      <c r="G36" s="130" t="s">
        <v>128</v>
      </c>
      <c r="H36" s="131">
        <f>SQRT(F35^2+F36^2+F37^2)</f>
        <v>20615.41145</v>
      </c>
      <c r="I36" s="77"/>
      <c r="L36" s="77"/>
    </row>
    <row r="37" ht="15.75" customHeight="1">
      <c r="B37" s="80"/>
      <c r="E37" s="80"/>
      <c r="F37" s="128">
        <f t="shared" si="8"/>
        <v>5061.170345</v>
      </c>
      <c r="I37" s="77"/>
      <c r="L37" s="77"/>
    </row>
    <row r="38" ht="15.75" customHeight="1">
      <c r="B38" s="80"/>
      <c r="E38" s="80"/>
      <c r="I38" s="77"/>
      <c r="L38" s="77"/>
    </row>
    <row r="39" ht="15.75" customHeight="1">
      <c r="B39" s="80"/>
      <c r="E39" s="132" t="s">
        <v>129</v>
      </c>
      <c r="I39" s="77"/>
      <c r="L39" s="77"/>
    </row>
    <row r="40" ht="15.75" customHeight="1">
      <c r="B40" s="80" t="s">
        <v>130</v>
      </c>
      <c r="C40" s="114">
        <f>SQRT(D3)/(H36*F8)*(C19*F30^3*H30-F30)</f>
        <v>-0.0002991836848</v>
      </c>
      <c r="E40" s="80"/>
      <c r="F40" s="128">
        <f t="shared" ref="F40:F42" si="9">C$40*C8+C$41*C12</f>
        <v>-1.092971549</v>
      </c>
      <c r="I40" s="77"/>
      <c r="L40" s="77"/>
    </row>
    <row r="41" ht="15.75" customHeight="1">
      <c r="B41" s="80" t="s">
        <v>131</v>
      </c>
      <c r="C41" s="114">
        <f>1-(F30^2)/(H36)*I30</f>
        <v>0.6329550994</v>
      </c>
      <c r="E41" s="133" t="s">
        <v>132</v>
      </c>
      <c r="F41" s="128">
        <f t="shared" si="9"/>
        <v>2.301812173</v>
      </c>
      <c r="G41" s="130" t="s">
        <v>133</v>
      </c>
      <c r="H41" s="131">
        <f>SQRT(F40^2+F41^2+F42^2)</f>
        <v>2.845251257</v>
      </c>
      <c r="I41" s="77"/>
      <c r="L41" s="77"/>
    </row>
    <row r="42" ht="15.75" customHeight="1">
      <c r="B42" s="80"/>
      <c r="E42" s="80"/>
      <c r="F42" s="128">
        <f t="shared" si="9"/>
        <v>1.265910199</v>
      </c>
      <c r="I42" s="77"/>
      <c r="L42" s="77"/>
    </row>
    <row r="43" ht="15.75" customHeight="1">
      <c r="B43" s="80"/>
      <c r="E43" s="134"/>
      <c r="F43" s="135"/>
      <c r="G43" s="135"/>
      <c r="H43" s="135"/>
      <c r="I43" s="136" t="s">
        <v>134</v>
      </c>
      <c r="L43" s="77"/>
    </row>
    <row r="44" ht="15.75" customHeight="1">
      <c r="B44" s="134"/>
      <c r="C44" s="135"/>
      <c r="D44" s="135"/>
      <c r="E44" s="135"/>
      <c r="F44" s="135"/>
      <c r="G44" s="135"/>
      <c r="H44" s="135"/>
      <c r="I44" s="135"/>
      <c r="J44" s="135"/>
      <c r="K44" s="135"/>
      <c r="L44" s="137"/>
    </row>
    <row r="45" ht="15.75" customHeight="1">
      <c r="B45" s="138" t="s">
        <v>135</v>
      </c>
    </row>
    <row r="46" ht="15.75" customHeight="1">
      <c r="B46" s="138" t="s">
        <v>136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3:C3"/>
    <mergeCell ref="B4:C4"/>
    <mergeCell ref="B6:D6"/>
    <mergeCell ref="E6:G6"/>
    <mergeCell ref="H6:I6"/>
    <mergeCell ref="B45:F45"/>
    <mergeCell ref="B46:F4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30.0" customHeight="1">
      <c r="A1" s="139" t="s">
        <v>137</v>
      </c>
      <c r="B1" s="140"/>
      <c r="C1" s="140"/>
      <c r="D1" s="140"/>
      <c r="E1" s="140"/>
      <c r="F1" s="140"/>
      <c r="G1" s="140"/>
      <c r="H1" s="140"/>
      <c r="I1" s="140"/>
      <c r="J1" s="140"/>
    </row>
    <row r="2" ht="15.75" customHeight="1">
      <c r="A2" s="141" t="s">
        <v>43</v>
      </c>
      <c r="B2" s="73"/>
      <c r="C2" s="142">
        <v>398600.0</v>
      </c>
      <c r="D2" s="140"/>
      <c r="E2" s="140"/>
      <c r="F2" s="140"/>
      <c r="G2" s="140"/>
      <c r="H2" s="140"/>
      <c r="I2" s="140"/>
      <c r="J2" s="140"/>
    </row>
    <row r="3" ht="15.75" customHeight="1">
      <c r="A3" s="141" t="s">
        <v>86</v>
      </c>
      <c r="B3" s="73"/>
      <c r="C3" s="142">
        <v>6378.0</v>
      </c>
      <c r="D3" s="140"/>
      <c r="E3" s="140"/>
      <c r="F3" s="140"/>
      <c r="G3" s="140"/>
      <c r="H3" s="140"/>
      <c r="I3" s="140"/>
      <c r="J3" s="140"/>
    </row>
    <row r="4" ht="15.75" customHeight="1">
      <c r="A4" s="140"/>
      <c r="B4" s="140"/>
      <c r="C4" s="140"/>
      <c r="D4" s="140"/>
      <c r="E4" s="140"/>
      <c r="F4" s="140"/>
      <c r="G4" s="140"/>
      <c r="H4" s="140"/>
      <c r="I4" s="140"/>
      <c r="J4" s="140" t="s">
        <v>138</v>
      </c>
    </row>
    <row r="5" ht="15.75" customHeight="1">
      <c r="A5" s="143" t="s">
        <v>139</v>
      </c>
      <c r="B5" s="144"/>
      <c r="C5" s="73"/>
      <c r="D5" s="143" t="s">
        <v>140</v>
      </c>
      <c r="E5" s="144"/>
      <c r="F5" s="73"/>
      <c r="G5" s="143" t="s">
        <v>141</v>
      </c>
      <c r="H5" s="73"/>
      <c r="I5" s="140"/>
      <c r="J5" s="140"/>
    </row>
    <row r="6" ht="15.75" customHeight="1">
      <c r="A6" s="145"/>
      <c r="B6" s="140"/>
      <c r="C6" s="146"/>
      <c r="D6" s="147"/>
      <c r="E6" s="148"/>
      <c r="F6" s="149"/>
      <c r="G6" s="150" t="s">
        <v>59</v>
      </c>
      <c r="H6" s="149"/>
      <c r="I6" s="140"/>
      <c r="J6" s="140"/>
    </row>
    <row r="7" ht="15.75" customHeight="1">
      <c r="A7" s="145"/>
      <c r="B7" s="151">
        <v>-4040.0</v>
      </c>
      <c r="C7" s="152" t="s">
        <v>142</v>
      </c>
      <c r="D7" s="153" t="s">
        <v>143</v>
      </c>
      <c r="E7" s="154">
        <f>SQRT(B7^2+B8^2+B9^2)</f>
        <v>7257.786577</v>
      </c>
      <c r="F7" s="146"/>
      <c r="G7" s="145"/>
      <c r="H7" s="146"/>
      <c r="I7" s="140"/>
      <c r="J7" s="140"/>
    </row>
    <row r="8" ht="15.75" customHeight="1">
      <c r="A8" s="145" t="s">
        <v>144</v>
      </c>
      <c r="B8" s="151">
        <v>4815.0</v>
      </c>
      <c r="C8" s="155" t="s">
        <v>145</v>
      </c>
      <c r="D8" s="145"/>
      <c r="E8" s="140"/>
      <c r="F8" s="146"/>
      <c r="G8" s="145"/>
      <c r="H8" s="156">
        <f>B8*B13-B9*B12</f>
        <v>25714.948</v>
      </c>
      <c r="I8" s="140" t="s">
        <v>146</v>
      </c>
      <c r="J8" s="140"/>
    </row>
    <row r="9" ht="15.75" customHeight="1">
      <c r="A9" s="145"/>
      <c r="B9" s="151">
        <v>3629.0</v>
      </c>
      <c r="C9" s="155" t="s">
        <v>147</v>
      </c>
      <c r="D9" s="145"/>
      <c r="E9" s="140"/>
      <c r="F9" s="146"/>
      <c r="G9" s="153" t="s">
        <v>148</v>
      </c>
      <c r="H9" s="156">
        <f>B9*B11-B7*B13</f>
        <v>-30659.55</v>
      </c>
      <c r="I9" s="140" t="s">
        <v>149</v>
      </c>
      <c r="J9" s="140"/>
    </row>
    <row r="10" ht="15.75" customHeight="1">
      <c r="A10" s="145"/>
      <c r="B10" s="140"/>
      <c r="C10" s="140"/>
      <c r="D10" s="145"/>
      <c r="E10" s="140"/>
      <c r="F10" s="146"/>
      <c r="G10" s="145"/>
      <c r="H10" s="156">
        <f>B7*B12-B8*B11</f>
        <v>69306.73</v>
      </c>
      <c r="I10" s="140" t="s">
        <v>150</v>
      </c>
      <c r="J10" s="140"/>
    </row>
    <row r="11" ht="15.75" customHeight="1">
      <c r="A11" s="145"/>
      <c r="B11" s="151">
        <v>-10.39</v>
      </c>
      <c r="C11" s="152" t="s">
        <v>151</v>
      </c>
      <c r="D11" s="153" t="s">
        <v>152</v>
      </c>
      <c r="E11" s="154">
        <f>SQRT(B11^2+B12^2+B13^2)</f>
        <v>11.5657088</v>
      </c>
      <c r="F11" s="146"/>
      <c r="G11" s="145"/>
      <c r="H11" s="146"/>
      <c r="I11" s="140"/>
      <c r="J11" s="140"/>
    </row>
    <row r="12" ht="15.75" customHeight="1">
      <c r="A12" s="145" t="s">
        <v>153</v>
      </c>
      <c r="B12" s="151">
        <v>-4.772</v>
      </c>
      <c r="C12" s="155" t="s">
        <v>154</v>
      </c>
      <c r="D12" s="145"/>
      <c r="E12" s="140"/>
      <c r="F12" s="146"/>
      <c r="G12" s="145"/>
      <c r="H12" s="146"/>
      <c r="I12" s="140"/>
      <c r="J12" s="140"/>
    </row>
    <row r="13" ht="15.75" customHeight="1">
      <c r="A13" s="145"/>
      <c r="B13" s="151">
        <v>1.744</v>
      </c>
      <c r="C13" s="157" t="s">
        <v>155</v>
      </c>
      <c r="D13" s="145"/>
      <c r="E13" s="140"/>
      <c r="F13" s="146"/>
      <c r="G13" s="158" t="s">
        <v>156</v>
      </c>
      <c r="H13" s="156">
        <f>SQRT(H8^2+H9^2+H10^2)</f>
        <v>80029.30326</v>
      </c>
      <c r="I13" s="140"/>
      <c r="J13" s="140"/>
    </row>
    <row r="14" ht="15.75" customHeight="1">
      <c r="A14" s="159"/>
      <c r="B14" s="160"/>
      <c r="C14" s="161"/>
      <c r="D14" s="159"/>
      <c r="E14" s="160"/>
      <c r="F14" s="161"/>
      <c r="G14" s="159"/>
      <c r="H14" s="161"/>
      <c r="I14" s="140"/>
      <c r="J14" s="140"/>
    </row>
    <row r="15" ht="15.75" customHeight="1"/>
    <row r="16" ht="15.75" customHeight="1">
      <c r="A16" s="147"/>
      <c r="B16" s="162" t="s">
        <v>157</v>
      </c>
      <c r="C16" s="73"/>
      <c r="D16" s="163" t="s">
        <v>158</v>
      </c>
      <c r="E16" s="73"/>
      <c r="F16" s="140"/>
      <c r="G16" s="150" t="s">
        <v>159</v>
      </c>
      <c r="H16" s="149"/>
      <c r="I16" s="140"/>
      <c r="J16" s="140"/>
    </row>
    <row r="17" ht="15.75" customHeight="1">
      <c r="A17" s="145"/>
      <c r="B17" s="145"/>
      <c r="C17" s="156">
        <f>(B12*H10-B13*H9)/C2-B7/E7</f>
        <v>-0.1389446714</v>
      </c>
      <c r="D17" s="140"/>
      <c r="E17" s="146"/>
      <c r="F17" s="140"/>
      <c r="G17" s="145"/>
      <c r="H17" s="146"/>
    </row>
    <row r="18" ht="15.75" customHeight="1">
      <c r="A18" s="164" t="s">
        <v>160</v>
      </c>
      <c r="B18" s="164" t="s">
        <v>161</v>
      </c>
      <c r="C18" s="156">
        <f>(B13*H8-B11*H10)/C2-B8/E7</f>
        <v>1.255650847</v>
      </c>
      <c r="D18" s="165" t="s">
        <v>162</v>
      </c>
      <c r="E18" s="156">
        <f>SQRT(C17^2+C18^2+C19^2)</f>
        <v>1.401584547</v>
      </c>
      <c r="F18" s="140"/>
      <c r="G18" s="153" t="s">
        <v>163</v>
      </c>
      <c r="H18" s="156">
        <f>E11^2/2-C2/E7</f>
        <v>11.96248467</v>
      </c>
    </row>
    <row r="19" ht="15.75" customHeight="1">
      <c r="A19" s="145"/>
      <c r="B19" s="145"/>
      <c r="C19" s="156">
        <f>(B11*H9-B12*H8)/C2-B9/E7</f>
        <v>0.607021063</v>
      </c>
      <c r="D19" s="140"/>
      <c r="E19" s="146"/>
      <c r="F19" s="140"/>
      <c r="G19" s="159"/>
      <c r="H19" s="161"/>
    </row>
    <row r="20" ht="15.75" customHeight="1">
      <c r="A20" s="159"/>
      <c r="B20" s="159"/>
      <c r="C20" s="161"/>
      <c r="D20" s="160"/>
      <c r="E20" s="161"/>
      <c r="F20" s="140"/>
      <c r="G20" s="140"/>
      <c r="H20" s="140"/>
    </row>
    <row r="21" ht="15.75" customHeight="1"/>
    <row r="22" ht="15.75" customHeight="1">
      <c r="A22" s="166" t="s">
        <v>164</v>
      </c>
      <c r="B22" s="73"/>
      <c r="C22" s="140"/>
      <c r="D22" s="167" t="s">
        <v>165</v>
      </c>
      <c r="E22" s="168">
        <f>B23*(1+E18)</f>
        <v>-40011.40343</v>
      </c>
      <c r="F22" s="167" t="s">
        <v>166</v>
      </c>
      <c r="G22" s="168">
        <f>B23*(1-E18)</f>
        <v>6690.566583</v>
      </c>
      <c r="H22" s="140"/>
    </row>
    <row r="23" ht="15.75" customHeight="1">
      <c r="A23" s="169" t="s">
        <v>167</v>
      </c>
      <c r="B23" s="168">
        <f>(-C2/H18)/2</f>
        <v>-16660.41843</v>
      </c>
      <c r="C23" s="140"/>
      <c r="D23" s="140"/>
      <c r="E23" s="140"/>
      <c r="F23" s="140"/>
      <c r="G23" s="140"/>
      <c r="H23" s="140"/>
    </row>
    <row r="24" ht="15.75" customHeight="1">
      <c r="A24" s="140"/>
      <c r="B24" s="140"/>
      <c r="C24" s="140"/>
      <c r="D24" s="140"/>
      <c r="E24" s="140"/>
      <c r="F24" s="140"/>
      <c r="G24" s="140"/>
      <c r="H24" s="140"/>
    </row>
    <row r="25" ht="15.75" customHeight="1">
      <c r="E25" s="170" t="s">
        <v>168</v>
      </c>
      <c r="F25" s="73"/>
      <c r="H25" s="171" t="s">
        <v>169</v>
      </c>
    </row>
    <row r="26" ht="15.75" customHeight="1">
      <c r="A26" s="167" t="s">
        <v>170</v>
      </c>
      <c r="B26" s="167" t="s">
        <v>171</v>
      </c>
      <c r="C26" s="168">
        <f>H13/E7</f>
        <v>11.02668181</v>
      </c>
      <c r="D26" s="140"/>
      <c r="E26" s="167"/>
      <c r="F26" s="168">
        <f>H27*H10-H28*H9</f>
        <v>30659.55</v>
      </c>
      <c r="G26" s="140" t="s">
        <v>172</v>
      </c>
      <c r="H26" s="167">
        <v>0.0</v>
      </c>
      <c r="I26" s="140" t="s">
        <v>173</v>
      </c>
    </row>
    <row r="27" ht="15.75" customHeight="1">
      <c r="A27" s="167" t="s">
        <v>174</v>
      </c>
      <c r="B27" s="167" t="s">
        <v>175</v>
      </c>
      <c r="C27" s="168">
        <f>(C2/H13)*E18*SIN(30)</f>
        <v>-6.897288695</v>
      </c>
      <c r="D27" s="140"/>
      <c r="E27" s="172" t="s">
        <v>176</v>
      </c>
      <c r="F27" s="168">
        <f>H28*H8-H26*H10</f>
        <v>25714.948</v>
      </c>
      <c r="G27" s="140" t="s">
        <v>177</v>
      </c>
      <c r="H27" s="167">
        <v>0.0</v>
      </c>
      <c r="I27" s="140" t="s">
        <v>178</v>
      </c>
    </row>
    <row r="28" ht="15.75" customHeight="1">
      <c r="A28" s="140"/>
      <c r="B28" s="140"/>
      <c r="C28" s="140"/>
      <c r="D28" s="140"/>
      <c r="E28" s="167"/>
      <c r="F28" s="168">
        <f>H26*H9-H27*H8</f>
        <v>0</v>
      </c>
      <c r="G28" s="140" t="s">
        <v>179</v>
      </c>
      <c r="H28" s="167">
        <v>1.0</v>
      </c>
      <c r="I28" s="140" t="s">
        <v>180</v>
      </c>
    </row>
    <row r="29" ht="15.75" customHeight="1">
      <c r="A29" s="173" t="s">
        <v>181</v>
      </c>
      <c r="B29" s="174" t="s">
        <v>182</v>
      </c>
      <c r="C29" s="167">
        <f>ACOS(H10/H13)</f>
        <v>0.5236157609</v>
      </c>
      <c r="D29" s="140" t="s">
        <v>26</v>
      </c>
      <c r="E29" s="167"/>
      <c r="F29" s="167"/>
    </row>
    <row r="30" ht="15.75" customHeight="1">
      <c r="A30" s="175"/>
      <c r="B30" s="175"/>
      <c r="C30" s="168">
        <f>DEGREES(C29)</f>
        <v>30.00097318</v>
      </c>
      <c r="D30" s="140" t="s">
        <v>28</v>
      </c>
      <c r="E30" s="169" t="s">
        <v>176</v>
      </c>
      <c r="F30" s="168">
        <f>SQRT(F26^2+F27^2+F28^2)</f>
        <v>40015.82883</v>
      </c>
    </row>
    <row r="31" ht="15.75" customHeight="1">
      <c r="A31" s="176" t="s">
        <v>183</v>
      </c>
      <c r="B31" s="177" t="s">
        <v>184</v>
      </c>
      <c r="C31" s="167">
        <f>IF(C19&gt;=0,ACOS((F26*C17+F27*C18+F28*C19)/(F30*E18)),360-ACOS((F26*C17+F27*C18+F28*C19)/(F30*E18)))</f>
        <v>1.047480997</v>
      </c>
      <c r="D31" s="140" t="s">
        <v>26</v>
      </c>
      <c r="E31" s="140"/>
      <c r="F31" s="140"/>
      <c r="G31" s="140"/>
      <c r="H31" s="140"/>
    </row>
    <row r="32" ht="15.75" customHeight="1">
      <c r="A32" s="175"/>
      <c r="B32" s="175"/>
      <c r="C32" s="168">
        <f>DEGREES(C31)</f>
        <v>60.01624025</v>
      </c>
      <c r="D32" s="140" t="s">
        <v>28</v>
      </c>
    </row>
    <row r="33" ht="15.75" customHeight="1">
      <c r="A33" s="178" t="s">
        <v>185</v>
      </c>
      <c r="B33" s="177" t="s">
        <v>186</v>
      </c>
      <c r="C33" s="167">
        <f>IF(F27&gt;=0,ACOS(F26/F30),360-ACOS(F26/F30))</f>
        <v>0.6979121417</v>
      </c>
      <c r="D33" s="140" t="s">
        <v>187</v>
      </c>
    </row>
    <row r="34" ht="15.75" customHeight="1">
      <c r="A34" s="175"/>
      <c r="B34" s="175"/>
      <c r="C34" s="168">
        <f>DEGREES(C33)</f>
        <v>39.98742019</v>
      </c>
      <c r="D34" s="140" t="s">
        <v>28</v>
      </c>
    </row>
    <row r="35" ht="15.75" customHeight="1">
      <c r="A35" s="173" t="s">
        <v>188</v>
      </c>
      <c r="B35" s="177" t="s">
        <v>189</v>
      </c>
      <c r="C35" s="167">
        <f>ACOS((C17*B7+C18*B8+C19*B9)/(E18*E7))</f>
        <v>0.5234775305</v>
      </c>
      <c r="D35" s="140" t="s">
        <v>26</v>
      </c>
    </row>
    <row r="36" ht="15.75" customHeight="1">
      <c r="A36" s="175"/>
      <c r="B36" s="175"/>
      <c r="C36" s="168">
        <f>DEGREES(C35)</f>
        <v>29.99305317</v>
      </c>
      <c r="D36" s="140" t="s">
        <v>28</v>
      </c>
    </row>
    <row r="37" ht="15.75" customHeight="1">
      <c r="B37" s="179"/>
      <c r="C37" s="179"/>
    </row>
    <row r="38" ht="12.75" customHeight="1">
      <c r="A38" s="180" t="s">
        <v>190</v>
      </c>
      <c r="B38" s="181" t="s">
        <v>191</v>
      </c>
      <c r="C38" s="182">
        <f>B23</f>
        <v>-16660.41843</v>
      </c>
    </row>
    <row r="39" ht="15.75" customHeight="1">
      <c r="A39" s="183"/>
      <c r="B39" s="184" t="s">
        <v>192</v>
      </c>
      <c r="C39" s="185">
        <f>E18</f>
        <v>1.401584547</v>
      </c>
      <c r="D39" s="186"/>
    </row>
    <row r="40" ht="15.75" customHeight="1">
      <c r="A40" s="183"/>
      <c r="B40" s="184" t="s">
        <v>182</v>
      </c>
      <c r="C40" s="185">
        <f>C30</f>
        <v>30.00097318</v>
      </c>
      <c r="D40" s="186" t="s">
        <v>28</v>
      </c>
    </row>
    <row r="41" ht="15.75" customHeight="1">
      <c r="A41" s="183"/>
      <c r="B41" s="187" t="s">
        <v>184</v>
      </c>
      <c r="C41" s="185">
        <f>C32</f>
        <v>60.01624025</v>
      </c>
      <c r="D41" s="186" t="s">
        <v>28</v>
      </c>
    </row>
    <row r="42" ht="15.75" customHeight="1">
      <c r="A42" s="183"/>
      <c r="B42" s="187" t="s">
        <v>186</v>
      </c>
      <c r="C42" s="188">
        <f>C34</f>
        <v>39.98742019</v>
      </c>
      <c r="D42" s="140" t="s">
        <v>28</v>
      </c>
    </row>
    <row r="43" ht="15.75" customHeight="1">
      <c r="A43" s="189"/>
      <c r="B43" s="190" t="s">
        <v>189</v>
      </c>
      <c r="C43" s="191">
        <f>C36</f>
        <v>29.99305317</v>
      </c>
      <c r="D43" s="140" t="s">
        <v>28</v>
      </c>
    </row>
    <row r="44" ht="15.75" customHeight="1">
      <c r="B44" s="192"/>
      <c r="C44" s="19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2:B2"/>
    <mergeCell ref="A3:B3"/>
    <mergeCell ref="A5:C5"/>
    <mergeCell ref="D5:F5"/>
    <mergeCell ref="G5:H5"/>
    <mergeCell ref="B16:C16"/>
    <mergeCell ref="D16:E16"/>
    <mergeCell ref="A33:A34"/>
    <mergeCell ref="A35:A36"/>
    <mergeCell ref="B35:B36"/>
    <mergeCell ref="A38:A43"/>
    <mergeCell ref="A22:B22"/>
    <mergeCell ref="E25:F25"/>
    <mergeCell ref="A29:A30"/>
    <mergeCell ref="B29:B30"/>
    <mergeCell ref="A31:A32"/>
    <mergeCell ref="B31:B32"/>
    <mergeCell ref="B33:B34"/>
  </mergeCells>
  <printOptions/>
  <pageMargins bottom="0.0" footer="0.0" header="0.0" left="0.0" right="0.0" top="0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30.0" customHeight="1">
      <c r="A1" s="139" t="s">
        <v>193</v>
      </c>
      <c r="B1" s="140"/>
      <c r="C1" s="140"/>
      <c r="D1" s="140"/>
      <c r="E1" s="140"/>
      <c r="F1" s="140"/>
    </row>
    <row r="2" ht="15.75" customHeight="1">
      <c r="A2" s="141" t="s">
        <v>43</v>
      </c>
      <c r="B2" s="73"/>
      <c r="C2" s="142">
        <v>398600.0</v>
      </c>
      <c r="D2" s="140"/>
      <c r="E2" s="140"/>
      <c r="F2" s="140"/>
    </row>
    <row r="3" ht="15.75" customHeight="1">
      <c r="A3" s="141" t="s">
        <v>86</v>
      </c>
      <c r="B3" s="73"/>
      <c r="C3" s="142">
        <v>6378.0</v>
      </c>
      <c r="D3" s="140"/>
      <c r="E3" s="172" t="s">
        <v>194</v>
      </c>
      <c r="F3" s="167">
        <v>80000.0</v>
      </c>
      <c r="G3" s="167" t="s">
        <v>195</v>
      </c>
    </row>
    <row r="4" ht="15.75" customHeight="1"/>
    <row r="5" ht="15.75" customHeight="1">
      <c r="A5" s="193" t="s">
        <v>190</v>
      </c>
      <c r="B5" s="194" t="s">
        <v>191</v>
      </c>
      <c r="C5" s="195">
        <v>-16725.2</v>
      </c>
      <c r="D5" s="140"/>
      <c r="E5" s="140"/>
      <c r="F5" s="140"/>
    </row>
    <row r="6" ht="15.75" customHeight="1">
      <c r="A6" s="196"/>
      <c r="B6" s="194" t="s">
        <v>192</v>
      </c>
      <c r="C6" s="195">
        <v>1.4</v>
      </c>
      <c r="D6" s="140"/>
      <c r="E6" s="140"/>
      <c r="F6" s="140"/>
    </row>
    <row r="7" ht="15.75" customHeight="1">
      <c r="A7" s="196"/>
      <c r="B7" s="194" t="s">
        <v>182</v>
      </c>
      <c r="C7" s="195">
        <v>30.0</v>
      </c>
      <c r="D7" s="152" t="s">
        <v>28</v>
      </c>
      <c r="E7" s="197">
        <f t="shared" ref="E7:E10" si="1">C7*PI()/180</f>
        <v>0.5235987756</v>
      </c>
      <c r="F7" s="152" t="s">
        <v>26</v>
      </c>
    </row>
    <row r="8" ht="15.75" customHeight="1">
      <c r="A8" s="196"/>
      <c r="B8" s="194" t="s">
        <v>184</v>
      </c>
      <c r="C8" s="195">
        <v>60.0</v>
      </c>
      <c r="D8" s="152" t="s">
        <v>28</v>
      </c>
      <c r="E8" s="197">
        <f t="shared" si="1"/>
        <v>1.047197551</v>
      </c>
      <c r="F8" s="152" t="s">
        <v>26</v>
      </c>
    </row>
    <row r="9" ht="15.75" customHeight="1">
      <c r="A9" s="196"/>
      <c r="B9" s="194" t="s">
        <v>196</v>
      </c>
      <c r="C9" s="195">
        <v>40.0</v>
      </c>
      <c r="D9" s="152" t="s">
        <v>28</v>
      </c>
      <c r="E9" s="197">
        <f t="shared" si="1"/>
        <v>0.6981317008</v>
      </c>
      <c r="F9" s="152" t="s">
        <v>26</v>
      </c>
    </row>
    <row r="10" ht="15.75" customHeight="1">
      <c r="A10" s="198"/>
      <c r="B10" s="194" t="s">
        <v>189</v>
      </c>
      <c r="C10" s="195">
        <v>30.0</v>
      </c>
      <c r="D10" s="140"/>
      <c r="E10" s="197">
        <f t="shared" si="1"/>
        <v>0.5235987756</v>
      </c>
      <c r="F10" s="152" t="s">
        <v>26</v>
      </c>
    </row>
    <row r="11" ht="15.75" customHeight="1"/>
    <row r="12" ht="15.75" customHeight="1">
      <c r="A12" s="140"/>
      <c r="B12" s="140"/>
      <c r="C12" s="140"/>
      <c r="D12" s="140"/>
      <c r="E12" s="140"/>
      <c r="F12" s="199" t="s">
        <v>197</v>
      </c>
    </row>
    <row r="13" ht="15.75" customHeight="1">
      <c r="A13" s="140" t="s">
        <v>198</v>
      </c>
      <c r="B13" s="5">
        <f>(F3^2/C2)*(1/(1+1.4*COS(E7)))*COS(E7)</f>
        <v>6284.962346</v>
      </c>
      <c r="C13" s="140"/>
      <c r="E13" s="140"/>
      <c r="F13" s="200" t="s">
        <v>199</v>
      </c>
      <c r="G13" s="201">
        <f>COS(E8)</f>
        <v>0.5</v>
      </c>
      <c r="H13" s="201">
        <f>SIN(E8)</f>
        <v>0.8660254038</v>
      </c>
      <c r="I13" s="202">
        <v>0.0</v>
      </c>
    </row>
    <row r="14" ht="15.75" customHeight="1">
      <c r="A14" s="140"/>
      <c r="B14" s="140">
        <f>(F3^2/C2)*(1/(1+1.4*COS(E7)))*SIN(E7)</f>
        <v>3628.624702</v>
      </c>
      <c r="C14" s="140"/>
      <c r="D14" s="140"/>
      <c r="E14" s="140"/>
      <c r="F14" s="203"/>
      <c r="G14" s="140">
        <f>-SIN(E8)</f>
        <v>-0.8660254038</v>
      </c>
      <c r="H14" s="140">
        <f>COS(E8)</f>
        <v>0.5</v>
      </c>
      <c r="I14" s="204">
        <v>0.0</v>
      </c>
      <c r="J14" s="140"/>
    </row>
    <row r="15" ht="15.75" customHeight="1">
      <c r="A15" s="140"/>
      <c r="B15" s="140">
        <f>(F3^2/C2)*(1/(1+1.4*COS(E7)))*0</f>
        <v>0</v>
      </c>
      <c r="C15" s="140"/>
      <c r="D15" s="140"/>
      <c r="E15" s="140"/>
      <c r="F15" s="205"/>
      <c r="G15" s="206">
        <v>0.0</v>
      </c>
      <c r="H15" s="206">
        <v>0.0</v>
      </c>
      <c r="I15" s="207">
        <v>1.0</v>
      </c>
      <c r="J15" s="140"/>
    </row>
    <row r="16" ht="12.0" customHeight="1">
      <c r="A16" s="140"/>
      <c r="B16" s="140"/>
      <c r="C16" s="140"/>
      <c r="D16" s="140"/>
      <c r="E16" s="140"/>
      <c r="F16" s="208" t="s">
        <v>200</v>
      </c>
      <c r="G16" s="209">
        <v>1.0</v>
      </c>
      <c r="H16" s="201">
        <v>0.0</v>
      </c>
      <c r="I16" s="202">
        <v>0.0</v>
      </c>
    </row>
    <row r="17" ht="15.75" customHeight="1">
      <c r="A17" s="5" t="s">
        <v>201</v>
      </c>
      <c r="B17" s="5">
        <f>(C2/F3)*-SIN(E7)</f>
        <v>-2.49125</v>
      </c>
      <c r="F17" s="203"/>
      <c r="G17" s="210">
        <v>0.0</v>
      </c>
      <c r="H17" s="140">
        <f>COS(E7)</f>
        <v>0.8660254038</v>
      </c>
      <c r="I17" s="204">
        <f>SIN(E7)</f>
        <v>0.5</v>
      </c>
    </row>
    <row r="18" ht="15.75" customHeight="1">
      <c r="B18" s="140">
        <f>(C2/F3)*(1.4+COS(E7))</f>
        <v>11.29047157</v>
      </c>
      <c r="F18" s="205"/>
      <c r="G18" s="211">
        <v>0.0</v>
      </c>
      <c r="H18" s="206">
        <f>-SIN(E7)</f>
        <v>-0.5</v>
      </c>
      <c r="I18" s="207">
        <f>COS(E7)</f>
        <v>0.8660254038</v>
      </c>
    </row>
    <row r="19" ht="15.75" customHeight="1">
      <c r="B19" s="140">
        <f>(C2/F3)*0</f>
        <v>0</v>
      </c>
      <c r="F19" s="208" t="s">
        <v>202</v>
      </c>
      <c r="G19" s="209">
        <f>COS(E9)</f>
        <v>0.7660444431</v>
      </c>
      <c r="H19" s="201">
        <f>SIN(E9)</f>
        <v>0.6427876097</v>
      </c>
      <c r="I19" s="202">
        <v>0.0</v>
      </c>
    </row>
    <row r="20" ht="15.75" customHeight="1">
      <c r="F20" s="203"/>
      <c r="G20" s="210">
        <f>-SIN(E9)</f>
        <v>-0.6427876097</v>
      </c>
      <c r="H20" s="140">
        <f>COS(E9)</f>
        <v>0.7660444431</v>
      </c>
      <c r="I20" s="204">
        <v>0.0</v>
      </c>
    </row>
    <row r="21" ht="15.75" customHeight="1">
      <c r="F21" s="205"/>
      <c r="G21" s="211">
        <v>0.0</v>
      </c>
      <c r="H21" s="206">
        <v>0.0</v>
      </c>
      <c r="I21" s="207">
        <v>1.0</v>
      </c>
    </row>
    <row r="22" ht="15.75" customHeight="1"/>
    <row r="23" ht="15.75" customHeight="1"/>
    <row r="24" ht="15.75" customHeight="1">
      <c r="F24" s="208" t="s">
        <v>203</v>
      </c>
      <c r="G24" s="209">
        <f>G13*G16+H13*G17+I13*G18</f>
        <v>0.5</v>
      </c>
      <c r="H24" s="201">
        <f>G13*H16+H13*H17+I13*H18</f>
        <v>0.75</v>
      </c>
      <c r="I24" s="202">
        <f>G13*I16+H13*I17+I13*I18</f>
        <v>0.4330127019</v>
      </c>
    </row>
    <row r="25" ht="15.75" customHeight="1">
      <c r="F25" s="203"/>
      <c r="G25" s="210">
        <f>G14*G16+H14*G17+I14*G18</f>
        <v>-0.8660254038</v>
      </c>
      <c r="H25" s="140">
        <f>G14*H16+H14*H17+I14*H18</f>
        <v>0.4330127019</v>
      </c>
      <c r="I25" s="204">
        <f>G14*I16+H14*I17+I14*I18</f>
        <v>0.25</v>
      </c>
    </row>
    <row r="26" ht="15.75" customHeight="1">
      <c r="F26" s="205"/>
      <c r="G26" s="211">
        <f>G15*G16+H15*G17+I15*G18</f>
        <v>0</v>
      </c>
      <c r="H26" s="206">
        <f>G15*H16+H15*H17+I15*H18</f>
        <v>-0.5</v>
      </c>
      <c r="I26" s="207">
        <f>G15*I16+H15*I17+I15*I18</f>
        <v>0.8660254038</v>
      </c>
    </row>
    <row r="27" ht="15.75" customHeight="1">
      <c r="K27" s="212" t="s">
        <v>204</v>
      </c>
      <c r="L27" s="212">
        <f>G33*B13+H33*B14+I33*B15</f>
        <v>-4039.895923</v>
      </c>
    </row>
    <row r="28" ht="15.75" customHeight="1">
      <c r="K28" s="212"/>
      <c r="L28" s="212">
        <f>G34*B13+H34*B14+I34*B15</f>
        <v>4814.56048</v>
      </c>
    </row>
    <row r="29" ht="15.75" customHeight="1">
      <c r="G29" s="209">
        <f>G24*G19+H24*G20+I24*G21</f>
        <v>-0.09906848571</v>
      </c>
      <c r="H29" s="201">
        <f>G24*H19+H24*H20+I24*H21</f>
        <v>0.8959271372</v>
      </c>
      <c r="I29" s="202">
        <f>G24*I19+H24*I20+I24*I21</f>
        <v>0.4330127019</v>
      </c>
      <c r="K29" s="212"/>
      <c r="L29" s="212">
        <f>G35*B13+H35*B14+I35*B15</f>
        <v>3628.624702</v>
      </c>
    </row>
    <row r="30" ht="15.75" customHeight="1">
      <c r="G30" s="210">
        <f>G25*G19+H25*G20+I25*G21</f>
        <v>-0.9417491478</v>
      </c>
      <c r="H30" s="140">
        <f>G25*H19+H25*H20+I25*H21</f>
        <v>-0.2249634251</v>
      </c>
      <c r="I30" s="204">
        <f>G25*I19+H25*I20+I25*I21</f>
        <v>0.25</v>
      </c>
      <c r="K30" s="213"/>
      <c r="L30" s="213"/>
    </row>
    <row r="31" ht="15.75" customHeight="1">
      <c r="G31" s="211">
        <f>G26*G19+H26*G20+I26*G21</f>
        <v>0.3213938048</v>
      </c>
      <c r="H31" s="206">
        <f>G26*H19+H26*H20+I26*H21</f>
        <v>-0.3830222216</v>
      </c>
      <c r="I31" s="207">
        <f>G26*I19+H26*I20+I26*I21</f>
        <v>0.8660254038</v>
      </c>
      <c r="K31" s="213"/>
      <c r="L31" s="213"/>
    </row>
    <row r="32" ht="15.75" customHeight="1">
      <c r="K32" s="213"/>
      <c r="L32" s="213"/>
    </row>
    <row r="33" ht="15.75" customHeight="1">
      <c r="G33" s="209">
        <f t="array" ref="G33:I35">TRANSPOSE(G29:I31)</f>
        <v>-0.09906848571</v>
      </c>
      <c r="H33" s="201">
        <v>-0.9417491477821481</v>
      </c>
      <c r="I33" s="202">
        <v>0.32139380484326957</v>
      </c>
      <c r="K33" s="212" t="s">
        <v>205</v>
      </c>
      <c r="L33" s="212">
        <f>G33*B17+H33*B18+I33*B19</f>
        <v>-10.38598762</v>
      </c>
    </row>
    <row r="34" ht="15.75" customHeight="1">
      <c r="G34" s="210">
        <v>0.8959271371825033</v>
      </c>
      <c r="H34" s="140">
        <v>-0.22496342514194995</v>
      </c>
      <c r="I34" s="204">
        <v>-0.38302222155948895</v>
      </c>
      <c r="K34" s="212"/>
      <c r="L34" s="212">
        <f>G34*B17+H34*B18+I34*B19</f>
        <v>-4.771921637</v>
      </c>
    </row>
    <row r="35" ht="15.75" customHeight="1">
      <c r="G35" s="211">
        <v>0.43301270189221924</v>
      </c>
      <c r="H35" s="206">
        <v>0.25</v>
      </c>
      <c r="I35" s="207">
        <v>0.8660254037844387</v>
      </c>
      <c r="K35" s="212"/>
      <c r="L35" s="212">
        <f>G35*B17+H35*B18+I35*B19</f>
        <v>1.743875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B2"/>
    <mergeCell ref="A3:B3"/>
    <mergeCell ref="A5:A10"/>
    <mergeCell ref="F12:I12"/>
  </mergeCells>
  <printOptions/>
  <pageMargins bottom="0.0" footer="0.0" header="0.0" left="0.0" right="0.0" top="0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4.25"/>
    <col customWidth="1" min="3" max="3" width="12.63"/>
    <col customWidth="1" min="4" max="4" width="8.13"/>
    <col customWidth="1" min="5" max="5" width="6.13"/>
    <col customWidth="1" min="6" max="6" width="15.63"/>
    <col customWidth="1" min="7" max="7" width="13.13"/>
    <col customWidth="1" min="8" max="8" width="10.25"/>
  </cols>
  <sheetData>
    <row r="1" ht="15.75" customHeight="1">
      <c r="A1" s="214"/>
      <c r="B1" s="214"/>
      <c r="C1" s="214"/>
      <c r="D1" s="214"/>
      <c r="E1" s="214"/>
      <c r="F1" s="215"/>
      <c r="G1" s="216"/>
      <c r="H1" s="215"/>
    </row>
    <row r="2" ht="15.75" customHeight="1">
      <c r="A2" s="214"/>
      <c r="B2" s="217" t="s">
        <v>206</v>
      </c>
      <c r="G2" s="216"/>
      <c r="H2" s="215"/>
    </row>
    <row r="3" ht="15.75" customHeight="1">
      <c r="A3" s="214"/>
      <c r="B3" s="218" t="s">
        <v>207</v>
      </c>
      <c r="G3" s="216"/>
      <c r="H3" s="215"/>
    </row>
    <row r="4" ht="15.75" customHeight="1">
      <c r="A4" s="214"/>
      <c r="B4" s="214"/>
      <c r="C4" s="214"/>
      <c r="D4" s="214"/>
      <c r="E4" s="214"/>
      <c r="F4" s="215"/>
      <c r="G4" s="216"/>
      <c r="H4" s="215"/>
    </row>
    <row r="5" ht="24.0" customHeight="1">
      <c r="A5" s="214"/>
      <c r="B5" s="219" t="s">
        <v>208</v>
      </c>
      <c r="E5" s="214"/>
      <c r="F5" s="220" t="s">
        <v>209</v>
      </c>
    </row>
    <row r="6" ht="15.75" customHeight="1">
      <c r="A6" s="221"/>
      <c r="B6" s="222" t="s">
        <v>210</v>
      </c>
      <c r="C6" s="223">
        <v>2004.0</v>
      </c>
      <c r="D6" s="224" t="s">
        <v>211</v>
      </c>
      <c r="E6" s="225"/>
      <c r="F6" s="226" t="s">
        <v>212</v>
      </c>
      <c r="G6" s="227">
        <v>12.0</v>
      </c>
      <c r="H6" s="228" t="s">
        <v>213</v>
      </c>
    </row>
    <row r="7" ht="15.75" customHeight="1">
      <c r="A7" s="214"/>
      <c r="B7" s="229"/>
      <c r="C7" s="230">
        <v>3.0</v>
      </c>
      <c r="D7" s="231" t="s">
        <v>214</v>
      </c>
      <c r="E7" s="214"/>
      <c r="G7" s="227">
        <v>30.0</v>
      </c>
      <c r="H7" s="228" t="s">
        <v>215</v>
      </c>
    </row>
    <row r="8" ht="15.75" customHeight="1">
      <c r="B8" s="229"/>
      <c r="C8" s="232">
        <v>3.0</v>
      </c>
      <c r="D8" s="231" t="s">
        <v>216</v>
      </c>
      <c r="E8" s="214"/>
      <c r="G8" s="233">
        <v>0.0</v>
      </c>
      <c r="H8" s="228" t="s">
        <v>217</v>
      </c>
    </row>
    <row r="9" ht="15.75" customHeight="1">
      <c r="B9" s="234" t="s">
        <v>218</v>
      </c>
      <c r="C9" s="230">
        <v>4.0</v>
      </c>
      <c r="D9" s="231" t="s">
        <v>219</v>
      </c>
      <c r="E9" s="214"/>
      <c r="F9" s="226" t="s">
        <v>218</v>
      </c>
      <c r="G9" s="235">
        <f>if(G6&lt;8,G6+12-8,G6-8)</f>
        <v>4</v>
      </c>
      <c r="H9" s="236" t="s">
        <v>213</v>
      </c>
    </row>
    <row r="10" ht="15.75" customHeight="1">
      <c r="B10" s="229"/>
      <c r="C10" s="232">
        <v>30.0</v>
      </c>
      <c r="D10" s="231" t="s">
        <v>220</v>
      </c>
      <c r="E10" s="214"/>
      <c r="G10" s="235">
        <f t="shared" ref="G10:G11" si="1">G7</f>
        <v>30</v>
      </c>
      <c r="H10" s="236" t="s">
        <v>215</v>
      </c>
    </row>
    <row r="11" ht="15.75" customHeight="1">
      <c r="B11" s="229"/>
      <c r="C11" s="237">
        <v>0.0</v>
      </c>
      <c r="D11" s="231" t="s">
        <v>221</v>
      </c>
      <c r="E11" s="214"/>
      <c r="G11" s="238">
        <f t="shared" si="1"/>
        <v>0</v>
      </c>
      <c r="H11" s="236" t="s">
        <v>217</v>
      </c>
    </row>
    <row r="12" ht="15.75" customHeight="1">
      <c r="B12" s="239" t="s">
        <v>222</v>
      </c>
      <c r="C12" s="240" t="str">
        <f>IF((C9+8)&gt;12,C9+8-12,C9+8)&amp;":"&amp;C10&amp;"."&amp;C11</f>
        <v>12:30.0</v>
      </c>
      <c r="D12" s="231" t="str">
        <f>IF(C12&gt;=12,"pm","am")</f>
        <v>pm</v>
      </c>
      <c r="E12" s="214"/>
      <c r="F12" s="215"/>
      <c r="G12" s="216"/>
      <c r="H12" s="215"/>
    </row>
    <row r="13" ht="15.75" customHeight="1">
      <c r="B13" s="234" t="s">
        <v>223</v>
      </c>
      <c r="C13" s="230">
        <v>139.7514</v>
      </c>
      <c r="D13" s="231" t="s">
        <v>28</v>
      </c>
      <c r="E13" s="214"/>
      <c r="F13" s="215"/>
      <c r="G13" s="216"/>
      <c r="H13" s="215"/>
    </row>
    <row r="14" ht="15.75" customHeight="1">
      <c r="B14" s="239" t="s">
        <v>224</v>
      </c>
      <c r="C14" s="232">
        <v>60.0</v>
      </c>
      <c r="D14" s="231" t="s">
        <v>28</v>
      </c>
      <c r="E14" s="214"/>
      <c r="F14" s="215"/>
      <c r="G14" s="216"/>
      <c r="H14" s="215"/>
    </row>
    <row r="15" ht="15.75" customHeight="1">
      <c r="B15" s="234" t="s">
        <v>225</v>
      </c>
      <c r="C15" s="230">
        <v>0.0</v>
      </c>
      <c r="D15" s="231" t="s">
        <v>55</v>
      </c>
      <c r="E15" s="214"/>
      <c r="F15" s="241"/>
      <c r="G15" s="216"/>
      <c r="H15" s="215"/>
    </row>
    <row r="16" ht="15.75" customHeight="1">
      <c r="B16" s="242" t="s">
        <v>226</v>
      </c>
      <c r="C16" s="243">
        <f>C9+(C10/60)+(C11/3600)</f>
        <v>4.5</v>
      </c>
      <c r="D16" s="244" t="s">
        <v>227</v>
      </c>
      <c r="E16" s="214"/>
      <c r="F16" s="215"/>
      <c r="G16" s="216"/>
      <c r="H16" s="215"/>
    </row>
    <row r="17" ht="25.5" customHeight="1">
      <c r="A17" s="214"/>
      <c r="B17" s="245" t="s">
        <v>228</v>
      </c>
      <c r="E17" s="214"/>
      <c r="F17" s="215"/>
      <c r="G17" s="216"/>
      <c r="H17" s="215"/>
    </row>
    <row r="18" ht="15.75" customHeight="1">
      <c r="A18" s="246" t="s">
        <v>229</v>
      </c>
      <c r="B18" s="222" t="s">
        <v>230</v>
      </c>
      <c r="C18" s="247">
        <f>367*C6-INT(7*(C6+INT((C7+9)/12))/4)+INT((275*C7)/9)+C8+1721013.5</f>
        <v>2453067.5</v>
      </c>
      <c r="D18" s="248"/>
      <c r="E18" s="214"/>
      <c r="F18" s="215"/>
      <c r="G18" s="216"/>
      <c r="H18" s="215"/>
    </row>
    <row r="19" ht="15.75" customHeight="1">
      <c r="A19" s="249"/>
      <c r="B19" s="234"/>
      <c r="C19" s="250"/>
      <c r="D19" s="251"/>
      <c r="E19" s="214"/>
      <c r="F19" s="215"/>
      <c r="G19" s="216"/>
      <c r="H19" s="215"/>
    </row>
    <row r="20" ht="15.75" customHeight="1">
      <c r="A20" s="246" t="s">
        <v>231</v>
      </c>
      <c r="B20" s="239" t="s">
        <v>232</v>
      </c>
      <c r="C20" s="252">
        <f>(C18- 2451545)/36525</f>
        <v>0.04168377823</v>
      </c>
      <c r="D20" s="251"/>
      <c r="E20" s="214"/>
      <c r="F20" s="215"/>
      <c r="G20" s="216"/>
      <c r="H20" s="215"/>
    </row>
    <row r="21" ht="15.75" customHeight="1">
      <c r="A21" s="249"/>
      <c r="B21" s="234"/>
      <c r="C21" s="250"/>
      <c r="D21" s="251"/>
      <c r="E21" s="214"/>
      <c r="F21" s="215"/>
      <c r="G21" s="216"/>
      <c r="H21" s="215"/>
    </row>
    <row r="22" ht="15.75" customHeight="1">
      <c r="A22" s="246" t="s">
        <v>233</v>
      </c>
      <c r="B22" s="239" t="s">
        <v>234</v>
      </c>
      <c r="C22" s="253">
        <f>100.4606184+(36000.77004*C20)+(0.000387933*(C20^2))-(2.583*10^(-8))*(C20^3)</f>
        <v>1601.108734</v>
      </c>
      <c r="D22" s="254" t="s">
        <v>28</v>
      </c>
      <c r="E22" s="214"/>
      <c r="F22" s="215"/>
      <c r="G22" s="216"/>
      <c r="H22" s="215"/>
    </row>
    <row r="23" ht="15.75" customHeight="1">
      <c r="B23" s="234"/>
      <c r="C23" s="250"/>
      <c r="D23" s="251"/>
      <c r="E23" s="214"/>
      <c r="F23" s="215"/>
      <c r="G23" s="216"/>
      <c r="H23" s="215"/>
    </row>
    <row r="24" ht="15.75" customHeight="1">
      <c r="B24" s="239" t="s">
        <v>235</v>
      </c>
      <c r="C24" s="253">
        <f>IF(C22&gt;360,C22 - INT(C22/360)*360,C22)</f>
        <v>161.1087337</v>
      </c>
      <c r="D24" s="254" t="s">
        <v>28</v>
      </c>
      <c r="E24" s="214"/>
      <c r="F24" s="215"/>
      <c r="G24" s="216"/>
      <c r="H24" s="215"/>
    </row>
    <row r="25" ht="15.75" customHeight="1">
      <c r="A25" s="249"/>
      <c r="B25" s="234"/>
      <c r="C25" s="250"/>
      <c r="D25" s="251"/>
      <c r="E25" s="214"/>
      <c r="F25" s="215"/>
      <c r="G25" s="216"/>
      <c r="H25" s="215"/>
    </row>
    <row r="26" ht="15.75" customHeight="1">
      <c r="A26" s="246" t="s">
        <v>236</v>
      </c>
      <c r="B26" s="239" t="s">
        <v>237</v>
      </c>
      <c r="C26" s="253">
        <f>C24+360.98564724*(C16/24)</f>
        <v>228.7935425</v>
      </c>
      <c r="D26" s="251"/>
      <c r="E26" s="214"/>
      <c r="F26" s="215"/>
      <c r="G26" s="216"/>
      <c r="H26" s="215"/>
    </row>
    <row r="27" ht="15.75" customHeight="1">
      <c r="A27" s="249"/>
      <c r="B27" s="234"/>
      <c r="C27" s="250"/>
      <c r="D27" s="251"/>
      <c r="E27" s="214"/>
      <c r="F27" s="215"/>
      <c r="G27" s="216"/>
      <c r="H27" s="215"/>
    </row>
    <row r="28" ht="15.75" customHeight="1">
      <c r="A28" s="246" t="s">
        <v>238</v>
      </c>
      <c r="B28" s="239" t="s">
        <v>189</v>
      </c>
      <c r="C28" s="253">
        <f>C26+C13</f>
        <v>368.5449425</v>
      </c>
      <c r="D28" s="251"/>
      <c r="E28" s="214"/>
      <c r="F28" s="215"/>
      <c r="G28" s="216"/>
      <c r="H28" s="215"/>
    </row>
    <row r="29" ht="15.75" customHeight="1">
      <c r="B29" s="234" t="s">
        <v>239</v>
      </c>
      <c r="C29" s="255">
        <f>C28-360</f>
        <v>8.544942535</v>
      </c>
      <c r="D29" s="256" t="s">
        <v>28</v>
      </c>
      <c r="E29" s="214"/>
      <c r="F29" s="215"/>
      <c r="G29" s="216"/>
      <c r="H29" s="215"/>
    </row>
    <row r="30" ht="15.75" customHeight="1">
      <c r="B30" s="242" t="s">
        <v>240</v>
      </c>
      <c r="C30" s="257">
        <f>(C29/360)*24</f>
        <v>0.5696628357</v>
      </c>
      <c r="D30" s="258" t="s">
        <v>241</v>
      </c>
      <c r="E30" s="214"/>
      <c r="F30" s="215"/>
      <c r="G30" s="216"/>
      <c r="H30" s="215"/>
    </row>
    <row r="31" ht="15.75" customHeight="1">
      <c r="A31" s="214"/>
      <c r="B31" s="214"/>
      <c r="C31" s="214"/>
      <c r="D31" s="214"/>
      <c r="E31" s="214"/>
      <c r="F31" s="215"/>
      <c r="G31" s="216"/>
      <c r="H31" s="215"/>
    </row>
    <row r="32" ht="15.75" customHeight="1">
      <c r="A32" s="214"/>
      <c r="B32" s="214"/>
      <c r="C32" s="214"/>
      <c r="D32" s="214"/>
      <c r="E32" s="214"/>
      <c r="F32" s="215"/>
      <c r="G32" s="216"/>
      <c r="H32" s="215"/>
    </row>
    <row r="33" ht="15.75" customHeight="1">
      <c r="A33" s="214"/>
      <c r="B33" s="214"/>
      <c r="C33" s="214"/>
      <c r="D33" s="214"/>
      <c r="E33" s="214"/>
      <c r="F33" s="215"/>
      <c r="G33" s="216"/>
      <c r="H33" s="215"/>
    </row>
    <row r="34" ht="15.75" customHeight="1">
      <c r="A34" s="214"/>
      <c r="B34" s="214"/>
      <c r="C34" s="214"/>
      <c r="D34" s="214"/>
      <c r="E34" s="214"/>
      <c r="F34" s="215"/>
      <c r="G34" s="216"/>
      <c r="H34" s="215"/>
    </row>
    <row r="35" ht="15.75" customHeight="1">
      <c r="A35" s="214"/>
      <c r="B35" s="214"/>
      <c r="C35" s="214"/>
      <c r="D35" s="214"/>
      <c r="E35" s="214"/>
      <c r="F35" s="215"/>
      <c r="G35" s="216"/>
      <c r="H35" s="215"/>
    </row>
    <row r="36" ht="15.75" customHeight="1">
      <c r="A36" s="214"/>
      <c r="B36" s="214"/>
      <c r="C36" s="214"/>
      <c r="D36" s="214"/>
      <c r="E36" s="214"/>
      <c r="F36" s="215"/>
      <c r="G36" s="216"/>
      <c r="H36" s="215"/>
    </row>
    <row r="37" ht="15.75" customHeight="1">
      <c r="A37" s="214"/>
      <c r="B37" s="214"/>
      <c r="C37" s="214"/>
      <c r="D37" s="214"/>
      <c r="E37" s="214"/>
      <c r="F37" s="215"/>
      <c r="G37" s="216"/>
      <c r="H37" s="215"/>
    </row>
    <row r="38" ht="15.75" customHeight="1">
      <c r="A38" s="214"/>
      <c r="B38" s="214"/>
      <c r="C38" s="214"/>
      <c r="D38" s="214"/>
      <c r="E38" s="214"/>
      <c r="F38" s="215"/>
      <c r="G38" s="216"/>
      <c r="H38" s="215"/>
    </row>
    <row r="39" ht="15.75" customHeight="1">
      <c r="A39" s="214"/>
      <c r="B39" s="214"/>
      <c r="C39" s="214"/>
      <c r="D39" s="214"/>
      <c r="E39" s="214"/>
      <c r="F39" s="215"/>
      <c r="G39" s="216"/>
      <c r="H39" s="215"/>
    </row>
    <row r="40" ht="15.75" customHeight="1">
      <c r="A40" s="214"/>
      <c r="B40" s="214"/>
      <c r="C40" s="214"/>
      <c r="D40" s="214"/>
      <c r="E40" s="214"/>
      <c r="F40" s="215"/>
      <c r="G40" s="216"/>
      <c r="H40" s="215"/>
    </row>
    <row r="41" ht="15.75" customHeight="1">
      <c r="A41" s="214"/>
      <c r="B41" s="214"/>
      <c r="C41" s="214"/>
      <c r="D41" s="214"/>
      <c r="E41" s="214"/>
      <c r="F41" s="215"/>
      <c r="G41" s="216"/>
      <c r="H41" s="215"/>
    </row>
    <row r="42" ht="15.75" customHeight="1">
      <c r="A42" s="214"/>
      <c r="B42" s="214"/>
      <c r="C42" s="214"/>
      <c r="D42" s="214"/>
      <c r="E42" s="214"/>
      <c r="F42" s="215"/>
      <c r="G42" s="216"/>
      <c r="H42" s="215"/>
    </row>
    <row r="43" ht="15.75" customHeight="1">
      <c r="A43" s="214"/>
      <c r="B43" s="214"/>
      <c r="C43" s="214"/>
      <c r="D43" s="214"/>
      <c r="E43" s="214"/>
      <c r="F43" s="215"/>
      <c r="G43" s="216"/>
      <c r="H43" s="215"/>
    </row>
    <row r="44" ht="15.75" customHeight="1">
      <c r="A44" s="214"/>
      <c r="B44" s="214"/>
      <c r="C44" s="214"/>
      <c r="D44" s="214"/>
      <c r="E44" s="214"/>
      <c r="F44" s="215"/>
      <c r="G44" s="216"/>
      <c r="H44" s="215"/>
    </row>
    <row r="45" ht="15.75" customHeight="1">
      <c r="A45" s="214"/>
      <c r="B45" s="214"/>
      <c r="C45" s="214"/>
      <c r="D45" s="214"/>
      <c r="E45" s="214"/>
      <c r="F45" s="215"/>
      <c r="G45" s="216"/>
      <c r="H45" s="215"/>
    </row>
    <row r="46" ht="15.75" customHeight="1">
      <c r="A46" s="214"/>
      <c r="B46" s="214"/>
      <c r="C46" s="214"/>
      <c r="D46" s="214"/>
      <c r="E46" s="214"/>
      <c r="F46" s="215"/>
      <c r="G46" s="216"/>
      <c r="H46" s="215"/>
    </row>
    <row r="47" ht="15.75" customHeight="1">
      <c r="A47" s="214"/>
      <c r="B47" s="214"/>
      <c r="C47" s="214"/>
      <c r="D47" s="214"/>
      <c r="E47" s="214"/>
      <c r="F47" s="215"/>
      <c r="G47" s="216"/>
      <c r="H47" s="215"/>
    </row>
    <row r="48" ht="15.75" customHeight="1">
      <c r="A48" s="214"/>
      <c r="B48" s="214"/>
      <c r="C48" s="214"/>
      <c r="D48" s="214"/>
      <c r="E48" s="214"/>
      <c r="F48" s="215"/>
      <c r="G48" s="216"/>
      <c r="H48" s="215"/>
    </row>
    <row r="49" ht="15.75" customHeight="1">
      <c r="A49" s="214"/>
      <c r="B49" s="214"/>
      <c r="C49" s="214"/>
      <c r="D49" s="214"/>
      <c r="E49" s="214"/>
      <c r="F49" s="215"/>
      <c r="G49" s="216"/>
      <c r="H49" s="215"/>
    </row>
    <row r="50" ht="15.75" customHeight="1">
      <c r="A50" s="214"/>
      <c r="B50" s="214"/>
      <c r="C50" s="214"/>
      <c r="D50" s="214"/>
      <c r="E50" s="214"/>
      <c r="F50" s="215"/>
      <c r="G50" s="216"/>
      <c r="H50" s="215"/>
    </row>
    <row r="51" ht="15.75" customHeight="1">
      <c r="A51" s="214"/>
      <c r="B51" s="214"/>
      <c r="C51" s="214"/>
      <c r="D51" s="214"/>
      <c r="E51" s="214"/>
      <c r="F51" s="215"/>
      <c r="G51" s="216"/>
      <c r="H51" s="215"/>
    </row>
    <row r="52" ht="15.75" customHeight="1">
      <c r="A52" s="214"/>
      <c r="B52" s="214"/>
      <c r="C52" s="214"/>
      <c r="D52" s="214"/>
      <c r="E52" s="214"/>
      <c r="F52" s="215"/>
      <c r="G52" s="216"/>
      <c r="H52" s="215"/>
    </row>
    <row r="53" ht="15.75" customHeight="1">
      <c r="A53" s="214"/>
      <c r="B53" s="214"/>
      <c r="C53" s="214"/>
      <c r="D53" s="214"/>
      <c r="E53" s="214"/>
      <c r="F53" s="215"/>
      <c r="G53" s="216"/>
      <c r="H53" s="215"/>
    </row>
    <row r="54" ht="15.75" customHeight="1">
      <c r="A54" s="214"/>
      <c r="B54" s="214"/>
      <c r="C54" s="214"/>
      <c r="D54" s="214"/>
      <c r="E54" s="214"/>
      <c r="F54" s="215"/>
      <c r="G54" s="216"/>
      <c r="H54" s="215"/>
    </row>
    <row r="55" ht="15.75" customHeight="1">
      <c r="A55" s="214"/>
      <c r="B55" s="214"/>
      <c r="C55" s="214"/>
      <c r="D55" s="214"/>
      <c r="E55" s="214"/>
      <c r="F55" s="215"/>
      <c r="G55" s="216"/>
      <c r="H55" s="215"/>
    </row>
    <row r="56" ht="15.75" customHeight="1">
      <c r="A56" s="214"/>
      <c r="B56" s="214"/>
      <c r="C56" s="214"/>
      <c r="D56" s="214"/>
      <c r="E56" s="214"/>
      <c r="F56" s="215"/>
      <c r="G56" s="216"/>
      <c r="H56" s="215"/>
    </row>
    <row r="57" ht="15.75" customHeight="1">
      <c r="A57" s="214"/>
      <c r="B57" s="214"/>
      <c r="C57" s="214"/>
      <c r="D57" s="214"/>
      <c r="E57" s="214"/>
      <c r="F57" s="215"/>
      <c r="G57" s="216"/>
      <c r="H57" s="215"/>
    </row>
    <row r="58" ht="15.75" customHeight="1">
      <c r="A58" s="214"/>
      <c r="B58" s="214"/>
      <c r="C58" s="214"/>
      <c r="D58" s="214"/>
      <c r="E58" s="214"/>
      <c r="F58" s="215"/>
      <c r="G58" s="216"/>
      <c r="H58" s="215"/>
    </row>
    <row r="59" ht="15.75" customHeight="1">
      <c r="A59" s="214"/>
      <c r="B59" s="214"/>
      <c r="C59" s="214"/>
      <c r="D59" s="214"/>
      <c r="E59" s="214"/>
      <c r="F59" s="215"/>
      <c r="G59" s="216"/>
      <c r="H59" s="215"/>
    </row>
    <row r="60" ht="15.75" customHeight="1">
      <c r="A60" s="214"/>
      <c r="B60" s="214"/>
      <c r="C60" s="214"/>
      <c r="D60" s="214"/>
      <c r="E60" s="214"/>
      <c r="F60" s="215"/>
      <c r="G60" s="216"/>
      <c r="H60" s="215"/>
    </row>
    <row r="61" ht="15.75" customHeight="1">
      <c r="A61" s="214"/>
      <c r="B61" s="214"/>
      <c r="C61" s="214"/>
      <c r="D61" s="214"/>
      <c r="E61" s="214"/>
      <c r="F61" s="215"/>
      <c r="G61" s="216"/>
      <c r="H61" s="215"/>
    </row>
    <row r="62" ht="15.75" customHeight="1">
      <c r="A62" s="214"/>
      <c r="B62" s="214"/>
      <c r="C62" s="214"/>
      <c r="D62" s="214"/>
      <c r="E62" s="214"/>
      <c r="F62" s="215"/>
      <c r="G62" s="216"/>
      <c r="H62" s="215"/>
    </row>
    <row r="63" ht="15.75" customHeight="1">
      <c r="A63" s="214"/>
      <c r="B63" s="214"/>
      <c r="C63" s="214"/>
      <c r="D63" s="214"/>
      <c r="E63" s="214"/>
      <c r="F63" s="215"/>
      <c r="G63" s="216"/>
      <c r="H63" s="215"/>
    </row>
    <row r="64" ht="15.75" customHeight="1">
      <c r="A64" s="214"/>
      <c r="B64" s="214"/>
      <c r="C64" s="214"/>
      <c r="D64" s="214"/>
      <c r="E64" s="214"/>
      <c r="F64" s="215"/>
      <c r="G64" s="216"/>
      <c r="H64" s="215"/>
    </row>
    <row r="65" ht="15.75" customHeight="1">
      <c r="A65" s="214"/>
      <c r="B65" s="214"/>
      <c r="C65" s="214"/>
      <c r="D65" s="214"/>
      <c r="E65" s="214"/>
      <c r="F65" s="215"/>
      <c r="G65" s="216"/>
      <c r="H65" s="215"/>
    </row>
    <row r="66" ht="15.75" customHeight="1">
      <c r="A66" s="214"/>
      <c r="B66" s="214"/>
      <c r="C66" s="214"/>
      <c r="D66" s="214"/>
      <c r="E66" s="214"/>
      <c r="F66" s="215"/>
      <c r="G66" s="216"/>
      <c r="H66" s="215"/>
    </row>
    <row r="67" ht="15.75" customHeight="1">
      <c r="A67" s="214"/>
      <c r="B67" s="214"/>
      <c r="C67" s="214"/>
      <c r="D67" s="214"/>
      <c r="E67" s="214"/>
      <c r="F67" s="215"/>
      <c r="G67" s="216"/>
      <c r="H67" s="215"/>
    </row>
    <row r="68" ht="15.75" customHeight="1">
      <c r="A68" s="214"/>
      <c r="B68" s="214"/>
      <c r="C68" s="214"/>
      <c r="D68" s="214"/>
      <c r="E68" s="214"/>
      <c r="F68" s="215"/>
      <c r="G68" s="216"/>
      <c r="H68" s="215"/>
    </row>
    <row r="69" ht="15.75" customHeight="1">
      <c r="A69" s="214"/>
      <c r="B69" s="214"/>
      <c r="C69" s="214"/>
      <c r="D69" s="214"/>
      <c r="E69" s="214"/>
      <c r="F69" s="215"/>
      <c r="G69" s="216"/>
      <c r="H69" s="215"/>
    </row>
    <row r="70" ht="15.75" customHeight="1">
      <c r="A70" s="214"/>
      <c r="B70" s="214"/>
      <c r="C70" s="214"/>
      <c r="D70" s="214"/>
      <c r="E70" s="214"/>
      <c r="F70" s="215"/>
      <c r="G70" s="216"/>
      <c r="H70" s="215"/>
    </row>
    <row r="71" ht="15.75" customHeight="1">
      <c r="A71" s="214"/>
      <c r="B71" s="214"/>
      <c r="C71" s="214"/>
      <c r="D71" s="214"/>
      <c r="E71" s="214"/>
      <c r="F71" s="215"/>
      <c r="G71" s="216"/>
      <c r="H71" s="215"/>
    </row>
    <row r="72" ht="15.75" customHeight="1">
      <c r="A72" s="214"/>
      <c r="B72" s="214"/>
      <c r="C72" s="214"/>
      <c r="D72" s="214"/>
      <c r="E72" s="214"/>
      <c r="F72" s="215"/>
      <c r="G72" s="216"/>
      <c r="H72" s="215"/>
    </row>
    <row r="73" ht="15.75" customHeight="1">
      <c r="A73" s="214"/>
      <c r="B73" s="214"/>
      <c r="C73" s="214"/>
      <c r="D73" s="214"/>
      <c r="E73" s="214"/>
      <c r="F73" s="215"/>
      <c r="G73" s="216"/>
      <c r="H73" s="215"/>
    </row>
    <row r="74" ht="15.75" customHeight="1">
      <c r="A74" s="214"/>
      <c r="B74" s="214"/>
      <c r="C74" s="214"/>
      <c r="D74" s="214"/>
      <c r="E74" s="214"/>
      <c r="F74" s="215"/>
      <c r="G74" s="216"/>
      <c r="H74" s="215"/>
    </row>
    <row r="75" ht="15.75" customHeight="1">
      <c r="A75" s="214"/>
      <c r="B75" s="214"/>
      <c r="C75" s="214"/>
      <c r="D75" s="214"/>
      <c r="E75" s="214"/>
      <c r="F75" s="215"/>
      <c r="G75" s="216"/>
      <c r="H75" s="215"/>
    </row>
    <row r="76" ht="15.75" customHeight="1">
      <c r="A76" s="214"/>
      <c r="B76" s="214"/>
      <c r="C76" s="214"/>
      <c r="D76" s="214"/>
      <c r="E76" s="214"/>
      <c r="F76" s="215"/>
      <c r="G76" s="216"/>
      <c r="H76" s="215"/>
    </row>
    <row r="77" ht="15.75" customHeight="1">
      <c r="A77" s="214"/>
      <c r="B77" s="214"/>
      <c r="C77" s="214"/>
      <c r="D77" s="214"/>
      <c r="E77" s="214"/>
      <c r="F77" s="215"/>
      <c r="G77" s="216"/>
      <c r="H77" s="215"/>
    </row>
    <row r="78" ht="15.75" customHeight="1">
      <c r="A78" s="214"/>
      <c r="B78" s="214"/>
      <c r="C78" s="214"/>
      <c r="D78" s="214"/>
      <c r="E78" s="214"/>
      <c r="F78" s="215"/>
      <c r="G78" s="216"/>
      <c r="H78" s="215"/>
    </row>
    <row r="79" ht="15.75" customHeight="1">
      <c r="A79" s="214"/>
      <c r="B79" s="214"/>
      <c r="C79" s="214"/>
      <c r="D79" s="214"/>
      <c r="E79" s="214"/>
      <c r="F79" s="215"/>
      <c r="G79" s="216"/>
      <c r="H79" s="215"/>
    </row>
    <row r="80" ht="15.75" customHeight="1">
      <c r="A80" s="214"/>
      <c r="B80" s="214"/>
      <c r="C80" s="214"/>
      <c r="D80" s="214"/>
      <c r="E80" s="214"/>
      <c r="F80" s="215"/>
      <c r="G80" s="216"/>
      <c r="H80" s="215"/>
    </row>
    <row r="81" ht="15.75" customHeight="1">
      <c r="A81" s="214"/>
      <c r="B81" s="214"/>
      <c r="C81" s="214"/>
      <c r="D81" s="214"/>
      <c r="E81" s="214"/>
      <c r="F81" s="215"/>
      <c r="G81" s="216"/>
      <c r="H81" s="215"/>
    </row>
    <row r="82" ht="15.75" customHeight="1">
      <c r="A82" s="214"/>
      <c r="B82" s="214"/>
      <c r="C82" s="214"/>
      <c r="D82" s="214"/>
      <c r="E82" s="214"/>
      <c r="F82" s="215"/>
      <c r="G82" s="216"/>
      <c r="H82" s="215"/>
    </row>
    <row r="83" ht="15.75" customHeight="1">
      <c r="A83" s="214"/>
      <c r="B83" s="214"/>
      <c r="C83" s="214"/>
      <c r="D83" s="214"/>
      <c r="E83" s="214"/>
      <c r="F83" s="215"/>
      <c r="G83" s="216"/>
      <c r="H83" s="215"/>
    </row>
    <row r="84" ht="15.75" customHeight="1">
      <c r="A84" s="214"/>
      <c r="B84" s="214"/>
      <c r="C84" s="214"/>
      <c r="D84" s="214"/>
      <c r="E84" s="214"/>
      <c r="F84" s="215"/>
      <c r="G84" s="216"/>
      <c r="H84" s="215"/>
    </row>
    <row r="85" ht="15.75" customHeight="1">
      <c r="A85" s="214"/>
      <c r="B85" s="214"/>
      <c r="C85" s="214"/>
      <c r="D85" s="214"/>
      <c r="E85" s="214"/>
      <c r="F85" s="215"/>
      <c r="G85" s="216"/>
      <c r="H85" s="215"/>
    </row>
    <row r="86" ht="15.75" customHeight="1">
      <c r="A86" s="214"/>
      <c r="B86" s="214"/>
      <c r="C86" s="214"/>
      <c r="D86" s="214"/>
      <c r="E86" s="214"/>
      <c r="F86" s="215"/>
      <c r="G86" s="216"/>
      <c r="H86" s="215"/>
    </row>
    <row r="87" ht="15.75" customHeight="1">
      <c r="A87" s="214"/>
      <c r="B87" s="214"/>
      <c r="C87" s="214"/>
      <c r="D87" s="214"/>
      <c r="E87" s="214"/>
      <c r="F87" s="215"/>
      <c r="G87" s="216"/>
      <c r="H87" s="215"/>
    </row>
    <row r="88" ht="15.75" customHeight="1">
      <c r="A88" s="214"/>
      <c r="B88" s="214"/>
      <c r="C88" s="214"/>
      <c r="D88" s="214"/>
      <c r="E88" s="214"/>
      <c r="F88" s="215"/>
      <c r="G88" s="216"/>
      <c r="H88" s="215"/>
    </row>
    <row r="89" ht="15.75" customHeight="1">
      <c r="A89" s="214"/>
      <c r="B89" s="214"/>
      <c r="C89" s="214"/>
      <c r="D89" s="214"/>
      <c r="E89" s="214"/>
      <c r="F89" s="215"/>
      <c r="G89" s="216"/>
      <c r="H89" s="215"/>
    </row>
    <row r="90" ht="15.75" customHeight="1">
      <c r="A90" s="214"/>
      <c r="B90" s="214"/>
      <c r="C90" s="214"/>
      <c r="D90" s="214"/>
      <c r="E90" s="214"/>
      <c r="F90" s="215"/>
      <c r="G90" s="216"/>
      <c r="H90" s="215"/>
    </row>
    <row r="91" ht="15.75" customHeight="1">
      <c r="A91" s="214"/>
      <c r="B91" s="214"/>
      <c r="C91" s="214"/>
      <c r="D91" s="214"/>
      <c r="E91" s="214"/>
      <c r="F91" s="215"/>
      <c r="G91" s="216"/>
      <c r="H91" s="215"/>
    </row>
    <row r="92" ht="15.75" customHeight="1">
      <c r="A92" s="214"/>
      <c r="B92" s="214"/>
      <c r="C92" s="214"/>
      <c r="D92" s="214"/>
      <c r="E92" s="214"/>
      <c r="F92" s="215"/>
      <c r="G92" s="216"/>
      <c r="H92" s="215"/>
    </row>
    <row r="93" ht="15.75" customHeight="1">
      <c r="A93" s="214"/>
      <c r="B93" s="214"/>
      <c r="C93" s="214"/>
      <c r="D93" s="214"/>
      <c r="E93" s="214"/>
      <c r="F93" s="215"/>
      <c r="G93" s="216"/>
      <c r="H93" s="215"/>
    </row>
    <row r="94" ht="15.75" customHeight="1">
      <c r="A94" s="214"/>
      <c r="B94" s="214"/>
      <c r="C94" s="214"/>
      <c r="D94" s="214"/>
      <c r="E94" s="214"/>
      <c r="F94" s="215"/>
      <c r="G94" s="216"/>
      <c r="H94" s="215"/>
    </row>
    <row r="95" ht="15.75" customHeight="1">
      <c r="A95" s="214"/>
      <c r="B95" s="214"/>
      <c r="C95" s="214"/>
      <c r="D95" s="214"/>
      <c r="E95" s="214"/>
      <c r="F95" s="215"/>
      <c r="G95" s="216"/>
      <c r="H95" s="215"/>
    </row>
    <row r="96" ht="15.75" customHeight="1">
      <c r="A96" s="214"/>
      <c r="B96" s="214"/>
      <c r="C96" s="214"/>
      <c r="D96" s="214"/>
      <c r="E96" s="214"/>
      <c r="F96" s="215"/>
      <c r="G96" s="216"/>
      <c r="H96" s="215"/>
    </row>
    <row r="97" ht="15.75" customHeight="1">
      <c r="A97" s="214"/>
      <c r="B97" s="214"/>
      <c r="C97" s="214"/>
      <c r="D97" s="214"/>
      <c r="E97" s="214"/>
      <c r="F97" s="215"/>
      <c r="G97" s="216"/>
      <c r="H97" s="215"/>
    </row>
    <row r="98" ht="15.75" customHeight="1">
      <c r="A98" s="214"/>
      <c r="B98" s="214"/>
      <c r="C98" s="214"/>
      <c r="D98" s="214"/>
      <c r="E98" s="214"/>
      <c r="F98" s="215"/>
      <c r="G98" s="216"/>
      <c r="H98" s="215"/>
    </row>
    <row r="99" ht="15.75" customHeight="1">
      <c r="A99" s="214"/>
      <c r="B99" s="214"/>
      <c r="C99" s="214"/>
      <c r="D99" s="214"/>
      <c r="E99" s="214"/>
      <c r="F99" s="215"/>
      <c r="G99" s="216"/>
      <c r="H99" s="215"/>
    </row>
    <row r="100" ht="15.75" customHeight="1">
      <c r="A100" s="214"/>
      <c r="B100" s="214"/>
      <c r="C100" s="214"/>
      <c r="D100" s="214"/>
      <c r="E100" s="214"/>
      <c r="F100" s="215"/>
      <c r="G100" s="216"/>
      <c r="H100" s="215"/>
    </row>
    <row r="101" ht="15.75" customHeight="1">
      <c r="A101" s="214"/>
      <c r="B101" s="214"/>
      <c r="C101" s="214"/>
      <c r="D101" s="214"/>
      <c r="E101" s="214"/>
      <c r="F101" s="215"/>
      <c r="G101" s="216"/>
      <c r="H101" s="215"/>
    </row>
    <row r="102" ht="15.75" customHeight="1">
      <c r="A102" s="214"/>
      <c r="B102" s="214"/>
      <c r="C102" s="214"/>
      <c r="D102" s="214"/>
      <c r="E102" s="214"/>
      <c r="F102" s="215"/>
      <c r="G102" s="216"/>
      <c r="H102" s="215"/>
    </row>
    <row r="103" ht="15.75" customHeight="1">
      <c r="A103" s="214"/>
      <c r="B103" s="214"/>
      <c r="C103" s="214"/>
      <c r="D103" s="214"/>
      <c r="E103" s="214"/>
      <c r="F103" s="215"/>
      <c r="G103" s="216"/>
      <c r="H103" s="215"/>
    </row>
    <row r="104" ht="15.75" customHeight="1">
      <c r="A104" s="214"/>
      <c r="B104" s="214"/>
      <c r="C104" s="214"/>
      <c r="D104" s="214"/>
      <c r="E104" s="214"/>
      <c r="F104" s="215"/>
      <c r="G104" s="216"/>
      <c r="H104" s="215"/>
    </row>
    <row r="105" ht="15.75" customHeight="1">
      <c r="A105" s="214"/>
      <c r="B105" s="214"/>
      <c r="C105" s="214"/>
      <c r="D105" s="214"/>
      <c r="E105" s="214"/>
      <c r="F105" s="215"/>
      <c r="G105" s="216"/>
      <c r="H105" s="215"/>
    </row>
    <row r="106" ht="15.75" customHeight="1">
      <c r="A106" s="214"/>
      <c r="B106" s="214"/>
      <c r="C106" s="214"/>
      <c r="D106" s="214"/>
      <c r="E106" s="214"/>
      <c r="F106" s="215"/>
      <c r="G106" s="216"/>
      <c r="H106" s="215"/>
    </row>
    <row r="107" ht="15.75" customHeight="1">
      <c r="A107" s="214"/>
      <c r="B107" s="214"/>
      <c r="C107" s="214"/>
      <c r="D107" s="214"/>
      <c r="E107" s="214"/>
      <c r="F107" s="215"/>
      <c r="G107" s="216"/>
      <c r="H107" s="215"/>
    </row>
    <row r="108" ht="15.75" customHeight="1">
      <c r="A108" s="214"/>
      <c r="B108" s="214"/>
      <c r="C108" s="214"/>
      <c r="D108" s="214"/>
      <c r="E108" s="214"/>
      <c r="F108" s="215"/>
      <c r="G108" s="216"/>
      <c r="H108" s="215"/>
    </row>
    <row r="109" ht="15.75" customHeight="1">
      <c r="A109" s="214"/>
      <c r="B109" s="214"/>
      <c r="C109" s="214"/>
      <c r="D109" s="214"/>
      <c r="E109" s="214"/>
      <c r="F109" s="215"/>
      <c r="G109" s="216"/>
      <c r="H109" s="215"/>
    </row>
    <row r="110" ht="15.75" customHeight="1">
      <c r="A110" s="214"/>
      <c r="B110" s="214"/>
      <c r="C110" s="214"/>
      <c r="D110" s="214"/>
      <c r="E110" s="214"/>
      <c r="F110" s="215"/>
      <c r="G110" s="216"/>
      <c r="H110" s="215"/>
    </row>
    <row r="111" ht="15.75" customHeight="1">
      <c r="A111" s="214"/>
      <c r="B111" s="214"/>
      <c r="C111" s="214"/>
      <c r="D111" s="214"/>
      <c r="E111" s="214"/>
      <c r="F111" s="215"/>
      <c r="G111" s="216"/>
      <c r="H111" s="215"/>
    </row>
    <row r="112" ht="15.75" customHeight="1">
      <c r="A112" s="214"/>
      <c r="B112" s="214"/>
      <c r="C112" s="214"/>
      <c r="D112" s="214"/>
      <c r="E112" s="214"/>
      <c r="F112" s="215"/>
      <c r="G112" s="216"/>
      <c r="H112" s="215"/>
    </row>
    <row r="113" ht="15.75" customHeight="1">
      <c r="A113" s="214"/>
      <c r="B113" s="214"/>
      <c r="C113" s="214"/>
      <c r="D113" s="214"/>
      <c r="E113" s="214"/>
      <c r="F113" s="215"/>
      <c r="G113" s="216"/>
      <c r="H113" s="215"/>
    </row>
    <row r="114" ht="15.75" customHeight="1">
      <c r="A114" s="214"/>
      <c r="B114" s="214"/>
      <c r="C114" s="214"/>
      <c r="D114" s="214"/>
      <c r="E114" s="214"/>
      <c r="F114" s="215"/>
      <c r="G114" s="216"/>
      <c r="H114" s="215"/>
    </row>
    <row r="115" ht="15.75" customHeight="1">
      <c r="A115" s="214"/>
      <c r="B115" s="214"/>
      <c r="C115" s="214"/>
      <c r="D115" s="214"/>
      <c r="E115" s="214"/>
      <c r="F115" s="215"/>
      <c r="G115" s="216"/>
      <c r="H115" s="215"/>
    </row>
    <row r="116" ht="15.75" customHeight="1">
      <c r="A116" s="214"/>
      <c r="B116" s="214"/>
      <c r="C116" s="214"/>
      <c r="D116" s="214"/>
      <c r="E116" s="214"/>
      <c r="F116" s="215"/>
      <c r="G116" s="216"/>
      <c r="H116" s="215"/>
    </row>
    <row r="117" ht="15.75" customHeight="1">
      <c r="A117" s="214"/>
      <c r="B117" s="214"/>
      <c r="C117" s="214"/>
      <c r="D117" s="214"/>
      <c r="E117" s="214"/>
      <c r="F117" s="215"/>
      <c r="G117" s="216"/>
      <c r="H117" s="215"/>
    </row>
    <row r="118" ht="15.75" customHeight="1">
      <c r="A118" s="214"/>
      <c r="B118" s="214"/>
      <c r="C118" s="214"/>
      <c r="D118" s="214"/>
      <c r="E118" s="214"/>
      <c r="F118" s="215"/>
      <c r="G118" s="216"/>
      <c r="H118" s="215"/>
    </row>
    <row r="119" ht="15.75" customHeight="1">
      <c r="A119" s="214"/>
      <c r="B119" s="214"/>
      <c r="C119" s="214"/>
      <c r="D119" s="214"/>
      <c r="E119" s="214"/>
      <c r="F119" s="215"/>
      <c r="G119" s="216"/>
      <c r="H119" s="215"/>
    </row>
    <row r="120" ht="15.75" customHeight="1">
      <c r="A120" s="214"/>
      <c r="B120" s="214"/>
      <c r="C120" s="214"/>
      <c r="D120" s="214"/>
      <c r="E120" s="214"/>
      <c r="F120" s="215"/>
      <c r="G120" s="216"/>
      <c r="H120" s="215"/>
    </row>
    <row r="121" ht="15.75" customHeight="1">
      <c r="A121" s="214"/>
      <c r="B121" s="214"/>
      <c r="C121" s="214"/>
      <c r="D121" s="214"/>
      <c r="E121" s="214"/>
      <c r="F121" s="215"/>
      <c r="G121" s="216"/>
      <c r="H121" s="215"/>
    </row>
    <row r="122" ht="15.75" customHeight="1">
      <c r="A122" s="214"/>
      <c r="B122" s="214"/>
      <c r="C122" s="214"/>
      <c r="D122" s="214"/>
      <c r="E122" s="214"/>
      <c r="F122" s="215"/>
      <c r="G122" s="216"/>
      <c r="H122" s="215"/>
    </row>
    <row r="123" ht="15.75" customHeight="1">
      <c r="A123" s="214"/>
      <c r="B123" s="214"/>
      <c r="C123" s="214"/>
      <c r="D123" s="214"/>
      <c r="E123" s="214"/>
      <c r="F123" s="215"/>
      <c r="G123" s="216"/>
      <c r="H123" s="215"/>
    </row>
    <row r="124" ht="15.75" customHeight="1">
      <c r="A124" s="214"/>
      <c r="B124" s="214"/>
      <c r="C124" s="214"/>
      <c r="D124" s="214"/>
      <c r="E124" s="214"/>
      <c r="F124" s="215"/>
      <c r="G124" s="216"/>
      <c r="H124" s="215"/>
    </row>
    <row r="125" ht="15.75" customHeight="1">
      <c r="A125" s="214"/>
      <c r="B125" s="214"/>
      <c r="C125" s="214"/>
      <c r="D125" s="214"/>
      <c r="E125" s="214"/>
      <c r="F125" s="215"/>
      <c r="G125" s="216"/>
      <c r="H125" s="215"/>
    </row>
    <row r="126" ht="15.75" customHeight="1">
      <c r="A126" s="214"/>
      <c r="B126" s="214"/>
      <c r="C126" s="214"/>
      <c r="D126" s="214"/>
      <c r="E126" s="214"/>
      <c r="F126" s="215"/>
      <c r="G126" s="216"/>
      <c r="H126" s="215"/>
    </row>
    <row r="127" ht="15.75" customHeight="1">
      <c r="A127" s="214"/>
      <c r="B127" s="214"/>
      <c r="C127" s="214"/>
      <c r="D127" s="214"/>
      <c r="E127" s="214"/>
      <c r="F127" s="215"/>
      <c r="G127" s="216"/>
      <c r="H127" s="215"/>
    </row>
    <row r="128" ht="15.75" customHeight="1">
      <c r="A128" s="214"/>
      <c r="B128" s="214"/>
      <c r="C128" s="214"/>
      <c r="D128" s="214"/>
      <c r="E128" s="214"/>
      <c r="F128" s="215"/>
      <c r="G128" s="216"/>
      <c r="H128" s="215"/>
    </row>
    <row r="129" ht="15.75" customHeight="1">
      <c r="A129" s="214"/>
      <c r="B129" s="214"/>
      <c r="C129" s="214"/>
      <c r="D129" s="214"/>
      <c r="E129" s="214"/>
      <c r="F129" s="215"/>
      <c r="G129" s="216"/>
      <c r="H129" s="215"/>
    </row>
    <row r="130" ht="15.75" customHeight="1">
      <c r="A130" s="214"/>
      <c r="B130" s="214"/>
      <c r="C130" s="214"/>
      <c r="D130" s="214"/>
      <c r="E130" s="214"/>
      <c r="F130" s="215"/>
      <c r="G130" s="216"/>
      <c r="H130" s="215"/>
    </row>
    <row r="131" ht="15.75" customHeight="1">
      <c r="A131" s="214"/>
      <c r="B131" s="214"/>
      <c r="C131" s="214"/>
      <c r="D131" s="214"/>
      <c r="E131" s="214"/>
      <c r="F131" s="215"/>
      <c r="G131" s="216"/>
      <c r="H131" s="215"/>
    </row>
    <row r="132" ht="15.75" customHeight="1">
      <c r="A132" s="214"/>
      <c r="B132" s="214"/>
      <c r="C132" s="214"/>
      <c r="D132" s="214"/>
      <c r="E132" s="214"/>
      <c r="F132" s="215"/>
      <c r="G132" s="216"/>
      <c r="H132" s="215"/>
    </row>
    <row r="133" ht="15.75" customHeight="1">
      <c r="A133" s="214"/>
      <c r="B133" s="214"/>
      <c r="C133" s="214"/>
      <c r="D133" s="214"/>
      <c r="E133" s="214"/>
      <c r="F133" s="215"/>
      <c r="G133" s="216"/>
      <c r="H133" s="215"/>
    </row>
    <row r="134" ht="15.75" customHeight="1">
      <c r="A134" s="214"/>
      <c r="B134" s="214"/>
      <c r="C134" s="214"/>
      <c r="D134" s="214"/>
      <c r="E134" s="214"/>
      <c r="F134" s="215"/>
      <c r="G134" s="216"/>
      <c r="H134" s="215"/>
    </row>
    <row r="135" ht="15.75" customHeight="1">
      <c r="A135" s="214"/>
      <c r="B135" s="214"/>
      <c r="C135" s="214"/>
      <c r="D135" s="214"/>
      <c r="E135" s="214"/>
      <c r="F135" s="215"/>
      <c r="G135" s="216"/>
      <c r="H135" s="215"/>
    </row>
    <row r="136" ht="15.75" customHeight="1">
      <c r="A136" s="214"/>
      <c r="B136" s="214"/>
      <c r="C136" s="214"/>
      <c r="D136" s="214"/>
      <c r="E136" s="214"/>
      <c r="F136" s="215"/>
      <c r="G136" s="216"/>
      <c r="H136" s="215"/>
    </row>
    <row r="137" ht="15.75" customHeight="1">
      <c r="A137" s="214"/>
      <c r="B137" s="214"/>
      <c r="C137" s="214"/>
      <c r="D137" s="214"/>
      <c r="E137" s="214"/>
      <c r="F137" s="215"/>
      <c r="G137" s="216"/>
      <c r="H137" s="215"/>
    </row>
    <row r="138" ht="15.75" customHeight="1">
      <c r="A138" s="214"/>
      <c r="B138" s="214"/>
      <c r="C138" s="214"/>
      <c r="D138" s="214"/>
      <c r="E138" s="214"/>
      <c r="F138" s="215"/>
      <c r="G138" s="216"/>
      <c r="H138" s="215"/>
    </row>
    <row r="139" ht="15.75" customHeight="1">
      <c r="A139" s="214"/>
      <c r="B139" s="214"/>
      <c r="C139" s="214"/>
      <c r="D139" s="214"/>
      <c r="E139" s="214"/>
      <c r="F139" s="215"/>
      <c r="G139" s="216"/>
      <c r="H139" s="215"/>
    </row>
    <row r="140" ht="15.75" customHeight="1">
      <c r="A140" s="214"/>
      <c r="B140" s="214"/>
      <c r="C140" s="214"/>
      <c r="D140" s="214"/>
      <c r="E140" s="214"/>
      <c r="F140" s="215"/>
      <c r="G140" s="216"/>
      <c r="H140" s="215"/>
    </row>
    <row r="141" ht="15.75" customHeight="1">
      <c r="A141" s="214"/>
      <c r="B141" s="214"/>
      <c r="C141" s="214"/>
      <c r="D141" s="214"/>
      <c r="E141" s="214"/>
      <c r="F141" s="215"/>
      <c r="G141" s="216"/>
      <c r="H141" s="215"/>
    </row>
    <row r="142" ht="15.75" customHeight="1">
      <c r="A142" s="214"/>
      <c r="B142" s="214"/>
      <c r="C142" s="214"/>
      <c r="D142" s="214"/>
      <c r="E142" s="214"/>
      <c r="F142" s="215"/>
      <c r="G142" s="216"/>
      <c r="H142" s="215"/>
    </row>
    <row r="143" ht="15.75" customHeight="1">
      <c r="A143" s="214"/>
      <c r="B143" s="214"/>
      <c r="C143" s="214"/>
      <c r="D143" s="214"/>
      <c r="E143" s="214"/>
      <c r="F143" s="215"/>
      <c r="G143" s="216"/>
      <c r="H143" s="215"/>
    </row>
    <row r="144" ht="15.75" customHeight="1">
      <c r="A144" s="214"/>
      <c r="B144" s="214"/>
      <c r="C144" s="214"/>
      <c r="D144" s="214"/>
      <c r="E144" s="214"/>
      <c r="F144" s="215"/>
      <c r="G144" s="216"/>
      <c r="H144" s="215"/>
    </row>
    <row r="145" ht="15.75" customHeight="1">
      <c r="A145" s="214"/>
      <c r="B145" s="214"/>
      <c r="C145" s="214"/>
      <c r="D145" s="214"/>
      <c r="E145" s="214"/>
      <c r="F145" s="215"/>
      <c r="G145" s="216"/>
      <c r="H145" s="215"/>
    </row>
    <row r="146" ht="15.75" customHeight="1">
      <c r="A146" s="214"/>
      <c r="B146" s="214"/>
      <c r="C146" s="214"/>
      <c r="D146" s="214"/>
      <c r="E146" s="214"/>
      <c r="F146" s="215"/>
      <c r="G146" s="216"/>
      <c r="H146" s="215"/>
    </row>
    <row r="147" ht="15.75" customHeight="1">
      <c r="A147" s="214"/>
      <c r="B147" s="214"/>
      <c r="C147" s="214"/>
      <c r="D147" s="214"/>
      <c r="E147" s="214"/>
      <c r="F147" s="215"/>
      <c r="G147" s="216"/>
      <c r="H147" s="215"/>
    </row>
    <row r="148" ht="15.75" customHeight="1">
      <c r="A148" s="214"/>
      <c r="B148" s="214"/>
      <c r="C148" s="214"/>
      <c r="D148" s="214"/>
      <c r="E148" s="214"/>
      <c r="F148" s="215"/>
      <c r="G148" s="216"/>
      <c r="H148" s="215"/>
    </row>
    <row r="149" ht="15.75" customHeight="1">
      <c r="A149" s="214"/>
      <c r="B149" s="214"/>
      <c r="C149" s="214"/>
      <c r="D149" s="214"/>
      <c r="E149" s="214"/>
      <c r="F149" s="215"/>
      <c r="G149" s="216"/>
      <c r="H149" s="215"/>
    </row>
    <row r="150" ht="15.75" customHeight="1">
      <c r="A150" s="214"/>
      <c r="B150" s="214"/>
      <c r="C150" s="214"/>
      <c r="D150" s="214"/>
      <c r="E150" s="214"/>
      <c r="F150" s="215"/>
      <c r="G150" s="216"/>
      <c r="H150" s="215"/>
    </row>
    <row r="151" ht="15.75" customHeight="1">
      <c r="A151" s="214"/>
      <c r="B151" s="214"/>
      <c r="C151" s="214"/>
      <c r="D151" s="214"/>
      <c r="E151" s="214"/>
      <c r="F151" s="215"/>
      <c r="G151" s="216"/>
      <c r="H151" s="215"/>
    </row>
    <row r="152" ht="15.75" customHeight="1">
      <c r="A152" s="214"/>
      <c r="B152" s="214"/>
      <c r="C152" s="214"/>
      <c r="D152" s="214"/>
      <c r="E152" s="214"/>
      <c r="F152" s="215"/>
      <c r="G152" s="216"/>
      <c r="H152" s="215"/>
    </row>
    <row r="153" ht="15.75" customHeight="1">
      <c r="A153" s="214"/>
      <c r="B153" s="214"/>
      <c r="C153" s="214"/>
      <c r="D153" s="214"/>
      <c r="E153" s="214"/>
      <c r="F153" s="215"/>
      <c r="G153" s="216"/>
      <c r="H153" s="215"/>
    </row>
    <row r="154" ht="15.75" customHeight="1">
      <c r="A154" s="214"/>
      <c r="B154" s="214"/>
      <c r="C154" s="214"/>
      <c r="D154" s="214"/>
      <c r="E154" s="214"/>
      <c r="F154" s="215"/>
      <c r="G154" s="216"/>
      <c r="H154" s="215"/>
    </row>
    <row r="155" ht="15.75" customHeight="1">
      <c r="A155" s="214"/>
      <c r="B155" s="214"/>
      <c r="C155" s="214"/>
      <c r="D155" s="214"/>
      <c r="E155" s="214"/>
      <c r="F155" s="215"/>
      <c r="G155" s="216"/>
      <c r="H155" s="215"/>
    </row>
    <row r="156" ht="15.75" customHeight="1">
      <c r="A156" s="214"/>
      <c r="B156" s="214"/>
      <c r="C156" s="214"/>
      <c r="D156" s="214"/>
      <c r="E156" s="214"/>
      <c r="F156" s="215"/>
      <c r="G156" s="216"/>
      <c r="H156" s="215"/>
    </row>
    <row r="157" ht="15.75" customHeight="1">
      <c r="A157" s="214"/>
      <c r="B157" s="214"/>
      <c r="C157" s="214"/>
      <c r="D157" s="214"/>
      <c r="E157" s="214"/>
      <c r="F157" s="215"/>
      <c r="G157" s="216"/>
      <c r="H157" s="215"/>
    </row>
    <row r="158" ht="15.75" customHeight="1">
      <c r="A158" s="214"/>
      <c r="B158" s="214"/>
      <c r="C158" s="214"/>
      <c r="D158" s="214"/>
      <c r="E158" s="214"/>
      <c r="F158" s="215"/>
      <c r="G158" s="216"/>
      <c r="H158" s="215"/>
    </row>
    <row r="159" ht="15.75" customHeight="1">
      <c r="A159" s="214"/>
      <c r="B159" s="214"/>
      <c r="C159" s="214"/>
      <c r="D159" s="214"/>
      <c r="E159" s="214"/>
      <c r="F159" s="215"/>
      <c r="G159" s="216"/>
      <c r="H159" s="215"/>
    </row>
    <row r="160" ht="15.75" customHeight="1">
      <c r="A160" s="214"/>
      <c r="B160" s="214"/>
      <c r="C160" s="214"/>
      <c r="D160" s="214"/>
      <c r="E160" s="214"/>
      <c r="F160" s="215"/>
      <c r="G160" s="216"/>
      <c r="H160" s="215"/>
    </row>
    <row r="161" ht="15.75" customHeight="1">
      <c r="A161" s="214"/>
      <c r="B161" s="214"/>
      <c r="C161" s="214"/>
      <c r="D161" s="214"/>
      <c r="E161" s="214"/>
      <c r="F161" s="215"/>
      <c r="G161" s="216"/>
      <c r="H161" s="215"/>
    </row>
    <row r="162" ht="15.75" customHeight="1">
      <c r="A162" s="214"/>
      <c r="B162" s="214"/>
      <c r="C162" s="214"/>
      <c r="D162" s="214"/>
      <c r="E162" s="214"/>
      <c r="F162" s="215"/>
      <c r="G162" s="216"/>
      <c r="H162" s="215"/>
    </row>
    <row r="163" ht="15.75" customHeight="1">
      <c r="A163" s="214"/>
      <c r="B163" s="214"/>
      <c r="C163" s="214"/>
      <c r="D163" s="214"/>
      <c r="E163" s="214"/>
      <c r="F163" s="215"/>
      <c r="G163" s="216"/>
      <c r="H163" s="215"/>
    </row>
    <row r="164" ht="15.75" customHeight="1">
      <c r="A164" s="214"/>
      <c r="B164" s="214"/>
      <c r="C164" s="214"/>
      <c r="D164" s="214"/>
      <c r="E164" s="214"/>
      <c r="F164" s="215"/>
      <c r="G164" s="216"/>
      <c r="H164" s="215"/>
    </row>
    <row r="165" ht="15.75" customHeight="1">
      <c r="A165" s="214"/>
      <c r="B165" s="214"/>
      <c r="C165" s="214"/>
      <c r="D165" s="214"/>
      <c r="E165" s="214"/>
      <c r="F165" s="215"/>
      <c r="G165" s="216"/>
      <c r="H165" s="215"/>
    </row>
    <row r="166" ht="15.75" customHeight="1">
      <c r="A166" s="214"/>
      <c r="B166" s="214"/>
      <c r="C166" s="214"/>
      <c r="D166" s="214"/>
      <c r="E166" s="214"/>
      <c r="F166" s="215"/>
      <c r="G166" s="216"/>
      <c r="H166" s="215"/>
    </row>
    <row r="167" ht="15.75" customHeight="1">
      <c r="A167" s="214"/>
      <c r="B167" s="214"/>
      <c r="C167" s="214"/>
      <c r="D167" s="214"/>
      <c r="E167" s="214"/>
      <c r="F167" s="215"/>
      <c r="G167" s="216"/>
      <c r="H167" s="215"/>
    </row>
    <row r="168" ht="15.75" customHeight="1">
      <c r="A168" s="214"/>
      <c r="B168" s="214"/>
      <c r="C168" s="214"/>
      <c r="D168" s="214"/>
      <c r="E168" s="214"/>
      <c r="F168" s="215"/>
      <c r="G168" s="216"/>
      <c r="H168" s="215"/>
    </row>
    <row r="169" ht="15.75" customHeight="1">
      <c r="A169" s="214"/>
      <c r="B169" s="214"/>
      <c r="C169" s="214"/>
      <c r="D169" s="214"/>
      <c r="E169" s="214"/>
      <c r="F169" s="215"/>
      <c r="G169" s="216"/>
      <c r="H169" s="215"/>
    </row>
    <row r="170" ht="15.75" customHeight="1">
      <c r="A170" s="214"/>
      <c r="B170" s="214"/>
      <c r="C170" s="214"/>
      <c r="D170" s="214"/>
      <c r="E170" s="214"/>
      <c r="F170" s="215"/>
      <c r="G170" s="216"/>
      <c r="H170" s="215"/>
    </row>
    <row r="171" ht="15.75" customHeight="1">
      <c r="A171" s="214"/>
      <c r="B171" s="214"/>
      <c r="C171" s="214"/>
      <c r="D171" s="214"/>
      <c r="E171" s="214"/>
      <c r="F171" s="215"/>
      <c r="G171" s="216"/>
      <c r="H171" s="215"/>
    </row>
    <row r="172" ht="15.75" customHeight="1">
      <c r="A172" s="214"/>
      <c r="B172" s="214"/>
      <c r="C172" s="214"/>
      <c r="D172" s="214"/>
      <c r="E172" s="214"/>
      <c r="F172" s="215"/>
      <c r="G172" s="216"/>
      <c r="H172" s="215"/>
    </row>
    <row r="173" ht="15.75" customHeight="1">
      <c r="A173" s="214"/>
      <c r="B173" s="214"/>
      <c r="C173" s="214"/>
      <c r="D173" s="214"/>
      <c r="E173" s="214"/>
      <c r="F173" s="215"/>
      <c r="G173" s="216"/>
      <c r="H173" s="215"/>
    </row>
    <row r="174" ht="15.75" customHeight="1">
      <c r="A174" s="214"/>
      <c r="B174" s="214"/>
      <c r="C174" s="214"/>
      <c r="D174" s="214"/>
      <c r="E174" s="214"/>
      <c r="F174" s="215"/>
      <c r="G174" s="216"/>
      <c r="H174" s="215"/>
    </row>
    <row r="175" ht="15.75" customHeight="1">
      <c r="A175" s="214"/>
      <c r="B175" s="214"/>
      <c r="C175" s="214"/>
      <c r="D175" s="214"/>
      <c r="E175" s="214"/>
      <c r="F175" s="215"/>
      <c r="G175" s="216"/>
      <c r="H175" s="215"/>
    </row>
    <row r="176" ht="15.75" customHeight="1">
      <c r="A176" s="214"/>
      <c r="B176" s="214"/>
      <c r="C176" s="214"/>
      <c r="D176" s="214"/>
      <c r="E176" s="214"/>
      <c r="F176" s="215"/>
      <c r="G176" s="216"/>
      <c r="H176" s="215"/>
    </row>
    <row r="177" ht="15.75" customHeight="1">
      <c r="A177" s="214"/>
      <c r="B177" s="214"/>
      <c r="C177" s="214"/>
      <c r="D177" s="214"/>
      <c r="E177" s="214"/>
      <c r="F177" s="215"/>
      <c r="G177" s="216"/>
      <c r="H177" s="215"/>
    </row>
    <row r="178" ht="15.75" customHeight="1">
      <c r="A178" s="214"/>
      <c r="B178" s="214"/>
      <c r="C178" s="214"/>
      <c r="D178" s="214"/>
      <c r="E178" s="214"/>
      <c r="F178" s="215"/>
      <c r="G178" s="216"/>
      <c r="H178" s="215"/>
    </row>
    <row r="179" ht="15.75" customHeight="1">
      <c r="A179" s="214"/>
      <c r="B179" s="214"/>
      <c r="C179" s="214"/>
      <c r="D179" s="214"/>
      <c r="E179" s="214"/>
      <c r="F179" s="215"/>
      <c r="G179" s="216"/>
      <c r="H179" s="215"/>
    </row>
    <row r="180" ht="15.75" customHeight="1">
      <c r="A180" s="214"/>
      <c r="B180" s="214"/>
      <c r="C180" s="214"/>
      <c r="D180" s="214"/>
      <c r="E180" s="214"/>
      <c r="F180" s="215"/>
      <c r="G180" s="216"/>
      <c r="H180" s="215"/>
    </row>
    <row r="181" ht="15.75" customHeight="1">
      <c r="A181" s="214"/>
      <c r="B181" s="214"/>
      <c r="C181" s="214"/>
      <c r="D181" s="214"/>
      <c r="E181" s="214"/>
      <c r="F181" s="215"/>
      <c r="G181" s="216"/>
      <c r="H181" s="215"/>
    </row>
    <row r="182" ht="15.75" customHeight="1">
      <c r="A182" s="214"/>
      <c r="B182" s="214"/>
      <c r="C182" s="214"/>
      <c r="D182" s="214"/>
      <c r="E182" s="214"/>
      <c r="F182" s="215"/>
      <c r="G182" s="216"/>
      <c r="H182" s="215"/>
    </row>
    <row r="183" ht="15.75" customHeight="1">
      <c r="A183" s="214"/>
      <c r="B183" s="214"/>
      <c r="C183" s="214"/>
      <c r="D183" s="214"/>
      <c r="E183" s="214"/>
      <c r="F183" s="215"/>
      <c r="G183" s="216"/>
      <c r="H183" s="215"/>
    </row>
    <row r="184" ht="15.75" customHeight="1">
      <c r="A184" s="214"/>
      <c r="B184" s="214"/>
      <c r="C184" s="214"/>
      <c r="D184" s="214"/>
      <c r="E184" s="214"/>
      <c r="F184" s="215"/>
      <c r="G184" s="216"/>
      <c r="H184" s="215"/>
    </row>
    <row r="185" ht="15.75" customHeight="1">
      <c r="A185" s="214"/>
      <c r="B185" s="214"/>
      <c r="C185" s="214"/>
      <c r="D185" s="214"/>
      <c r="E185" s="214"/>
      <c r="F185" s="215"/>
      <c r="G185" s="216"/>
      <c r="H185" s="215"/>
    </row>
    <row r="186" ht="15.75" customHeight="1">
      <c r="A186" s="214"/>
      <c r="B186" s="214"/>
      <c r="C186" s="214"/>
      <c r="D186" s="214"/>
      <c r="E186" s="214"/>
      <c r="F186" s="215"/>
      <c r="G186" s="216"/>
      <c r="H186" s="215"/>
    </row>
    <row r="187" ht="15.75" customHeight="1">
      <c r="A187" s="214"/>
      <c r="B187" s="214"/>
      <c r="C187" s="214"/>
      <c r="D187" s="214"/>
      <c r="E187" s="214"/>
      <c r="F187" s="215"/>
      <c r="G187" s="216"/>
      <c r="H187" s="215"/>
    </row>
    <row r="188" ht="15.75" customHeight="1">
      <c r="A188" s="214"/>
      <c r="B188" s="214"/>
      <c r="C188" s="214"/>
      <c r="D188" s="214"/>
      <c r="E188" s="214"/>
      <c r="F188" s="215"/>
      <c r="G188" s="216"/>
      <c r="H188" s="215"/>
    </row>
    <row r="189" ht="15.75" customHeight="1">
      <c r="A189" s="214"/>
      <c r="B189" s="214"/>
      <c r="C189" s="214"/>
      <c r="D189" s="214"/>
      <c r="E189" s="214"/>
      <c r="F189" s="215"/>
      <c r="G189" s="216"/>
      <c r="H189" s="215"/>
    </row>
    <row r="190" ht="15.75" customHeight="1">
      <c r="A190" s="214"/>
      <c r="B190" s="214"/>
      <c r="C190" s="214"/>
      <c r="D190" s="214"/>
      <c r="E190" s="214"/>
      <c r="F190" s="215"/>
      <c r="G190" s="216"/>
      <c r="H190" s="215"/>
    </row>
    <row r="191" ht="15.75" customHeight="1">
      <c r="A191" s="214"/>
      <c r="B191" s="214"/>
      <c r="C191" s="214"/>
      <c r="D191" s="214"/>
      <c r="E191" s="214"/>
      <c r="F191" s="215"/>
      <c r="G191" s="216"/>
      <c r="H191" s="215"/>
    </row>
    <row r="192" ht="15.75" customHeight="1">
      <c r="A192" s="214"/>
      <c r="B192" s="214"/>
      <c r="C192" s="214"/>
      <c r="D192" s="214"/>
      <c r="E192" s="214"/>
      <c r="F192" s="215"/>
      <c r="G192" s="216"/>
      <c r="H192" s="215"/>
    </row>
    <row r="193" ht="15.75" customHeight="1">
      <c r="A193" s="214"/>
      <c r="B193" s="214"/>
      <c r="C193" s="214"/>
      <c r="D193" s="214"/>
      <c r="E193" s="214"/>
      <c r="F193" s="215"/>
      <c r="G193" s="216"/>
      <c r="H193" s="215"/>
    </row>
    <row r="194" ht="15.75" customHeight="1">
      <c r="A194" s="214"/>
      <c r="B194" s="214"/>
      <c r="C194" s="214"/>
      <c r="D194" s="214"/>
      <c r="E194" s="214"/>
      <c r="F194" s="215"/>
      <c r="G194" s="216"/>
      <c r="H194" s="215"/>
    </row>
    <row r="195" ht="15.75" customHeight="1">
      <c r="A195" s="214"/>
      <c r="B195" s="214"/>
      <c r="C195" s="214"/>
      <c r="D195" s="214"/>
      <c r="E195" s="214"/>
      <c r="F195" s="215"/>
      <c r="G195" s="216"/>
      <c r="H195" s="215"/>
    </row>
    <row r="196" ht="15.75" customHeight="1">
      <c r="A196" s="214"/>
      <c r="B196" s="214"/>
      <c r="C196" s="214"/>
      <c r="D196" s="214"/>
      <c r="E196" s="214"/>
      <c r="F196" s="215"/>
      <c r="G196" s="216"/>
      <c r="H196" s="215"/>
    </row>
    <row r="197" ht="15.75" customHeight="1">
      <c r="A197" s="214"/>
      <c r="B197" s="214"/>
      <c r="C197" s="214"/>
      <c r="D197" s="214"/>
      <c r="E197" s="214"/>
      <c r="F197" s="215"/>
      <c r="G197" s="216"/>
      <c r="H197" s="215"/>
    </row>
    <row r="198" ht="15.75" customHeight="1">
      <c r="A198" s="214"/>
      <c r="B198" s="214"/>
      <c r="C198" s="214"/>
      <c r="D198" s="214"/>
      <c r="E198" s="214"/>
      <c r="F198" s="215"/>
      <c r="G198" s="216"/>
      <c r="H198" s="215"/>
    </row>
    <row r="199" ht="15.75" customHeight="1">
      <c r="A199" s="214"/>
      <c r="B199" s="214"/>
      <c r="C199" s="214"/>
      <c r="D199" s="214"/>
      <c r="E199" s="214"/>
      <c r="F199" s="215"/>
      <c r="G199" s="216"/>
      <c r="H199" s="215"/>
    </row>
    <row r="200" ht="15.75" customHeight="1">
      <c r="A200" s="214"/>
      <c r="B200" s="214"/>
      <c r="C200" s="214"/>
      <c r="D200" s="214"/>
      <c r="E200" s="214"/>
      <c r="F200" s="215"/>
      <c r="G200" s="216"/>
      <c r="H200" s="215"/>
    </row>
    <row r="201" ht="15.75" customHeight="1">
      <c r="A201" s="214"/>
      <c r="B201" s="214"/>
      <c r="C201" s="214"/>
      <c r="D201" s="214"/>
      <c r="E201" s="214"/>
      <c r="F201" s="215"/>
      <c r="G201" s="216"/>
      <c r="H201" s="215"/>
    </row>
    <row r="202" ht="15.75" customHeight="1">
      <c r="A202" s="214"/>
      <c r="B202" s="214"/>
      <c r="C202" s="214"/>
      <c r="D202" s="214"/>
      <c r="E202" s="214"/>
      <c r="F202" s="215"/>
      <c r="G202" s="216"/>
      <c r="H202" s="215"/>
    </row>
    <row r="203" ht="15.75" customHeight="1">
      <c r="A203" s="214"/>
      <c r="B203" s="214"/>
      <c r="C203" s="214"/>
      <c r="D203" s="214"/>
      <c r="E203" s="214"/>
      <c r="F203" s="215"/>
      <c r="G203" s="216"/>
      <c r="H203" s="215"/>
    </row>
    <row r="204" ht="15.75" customHeight="1">
      <c r="A204" s="214"/>
      <c r="B204" s="214"/>
      <c r="C204" s="214"/>
      <c r="D204" s="214"/>
      <c r="E204" s="214"/>
      <c r="F204" s="215"/>
      <c r="G204" s="216"/>
      <c r="H204" s="215"/>
    </row>
    <row r="205" ht="15.75" customHeight="1">
      <c r="A205" s="214"/>
      <c r="B205" s="214"/>
      <c r="C205" s="214"/>
      <c r="D205" s="214"/>
      <c r="E205" s="214"/>
      <c r="F205" s="215"/>
      <c r="G205" s="216"/>
      <c r="H205" s="215"/>
    </row>
    <row r="206" ht="15.75" customHeight="1">
      <c r="A206" s="214"/>
      <c r="B206" s="214"/>
      <c r="C206" s="214"/>
      <c r="D206" s="214"/>
      <c r="E206" s="214"/>
      <c r="F206" s="215"/>
      <c r="G206" s="216"/>
      <c r="H206" s="215"/>
    </row>
    <row r="207" ht="15.75" customHeight="1">
      <c r="A207" s="214"/>
      <c r="B207" s="214"/>
      <c r="C207" s="214"/>
      <c r="D207" s="214"/>
      <c r="E207" s="214"/>
      <c r="F207" s="215"/>
      <c r="G207" s="216"/>
      <c r="H207" s="215"/>
    </row>
    <row r="208" ht="15.75" customHeight="1">
      <c r="A208" s="214"/>
      <c r="B208" s="214"/>
      <c r="C208" s="214"/>
      <c r="D208" s="214"/>
      <c r="E208" s="214"/>
      <c r="F208" s="215"/>
      <c r="G208" s="216"/>
      <c r="H208" s="215"/>
    </row>
    <row r="209" ht="15.75" customHeight="1">
      <c r="A209" s="214"/>
      <c r="B209" s="214"/>
      <c r="C209" s="214"/>
      <c r="D209" s="214"/>
      <c r="E209" s="214"/>
      <c r="F209" s="215"/>
      <c r="G209" s="216"/>
      <c r="H209" s="215"/>
    </row>
    <row r="210" ht="15.75" customHeight="1">
      <c r="A210" s="214"/>
      <c r="B210" s="214"/>
      <c r="C210" s="214"/>
      <c r="D210" s="214"/>
      <c r="E210" s="214"/>
      <c r="F210" s="215"/>
      <c r="G210" s="216"/>
      <c r="H210" s="215"/>
    </row>
    <row r="211" ht="15.75" customHeight="1">
      <c r="A211" s="214"/>
      <c r="B211" s="214"/>
      <c r="C211" s="214"/>
      <c r="D211" s="214"/>
      <c r="E211" s="214"/>
      <c r="F211" s="215"/>
      <c r="G211" s="216"/>
      <c r="H211" s="215"/>
    </row>
    <row r="212" ht="15.75" customHeight="1">
      <c r="A212" s="214"/>
      <c r="B212" s="214"/>
      <c r="C212" s="214"/>
      <c r="D212" s="214"/>
      <c r="E212" s="214"/>
      <c r="F212" s="215"/>
      <c r="G212" s="216"/>
      <c r="H212" s="215"/>
    </row>
    <row r="213" ht="15.75" customHeight="1">
      <c r="A213" s="214"/>
      <c r="B213" s="214"/>
      <c r="C213" s="214"/>
      <c r="D213" s="214"/>
      <c r="E213" s="214"/>
      <c r="F213" s="215"/>
      <c r="G213" s="216"/>
      <c r="H213" s="215"/>
    </row>
    <row r="214" ht="15.75" customHeight="1">
      <c r="A214" s="214"/>
      <c r="B214" s="214"/>
      <c r="C214" s="214"/>
      <c r="D214" s="214"/>
      <c r="E214" s="214"/>
      <c r="F214" s="215"/>
      <c r="G214" s="216"/>
      <c r="H214" s="215"/>
    </row>
    <row r="215" ht="15.75" customHeight="1">
      <c r="A215" s="214"/>
      <c r="B215" s="214"/>
      <c r="C215" s="214"/>
      <c r="D215" s="214"/>
      <c r="E215" s="214"/>
      <c r="F215" s="215"/>
      <c r="G215" s="216"/>
      <c r="H215" s="215"/>
    </row>
    <row r="216" ht="15.75" customHeight="1">
      <c r="A216" s="214"/>
      <c r="B216" s="214"/>
      <c r="C216" s="214"/>
      <c r="D216" s="214"/>
      <c r="E216" s="214"/>
      <c r="F216" s="215"/>
      <c r="G216" s="216"/>
      <c r="H216" s="215"/>
    </row>
    <row r="217" ht="15.75" customHeight="1">
      <c r="A217" s="214"/>
      <c r="B217" s="214"/>
      <c r="C217" s="214"/>
      <c r="D217" s="214"/>
      <c r="E217" s="214"/>
      <c r="F217" s="215"/>
      <c r="G217" s="216"/>
      <c r="H217" s="215"/>
    </row>
    <row r="218" ht="15.75" customHeight="1">
      <c r="A218" s="214"/>
      <c r="B218" s="214"/>
      <c r="C218" s="214"/>
      <c r="D218" s="214"/>
      <c r="E218" s="214"/>
      <c r="F218" s="215"/>
      <c r="G218" s="216"/>
      <c r="H218" s="215"/>
    </row>
    <row r="219" ht="15.75" customHeight="1">
      <c r="A219" s="214"/>
      <c r="B219" s="214"/>
      <c r="C219" s="214"/>
      <c r="D219" s="214"/>
      <c r="E219" s="214"/>
      <c r="F219" s="215"/>
      <c r="G219" s="216"/>
      <c r="H219" s="215"/>
    </row>
    <row r="220" ht="15.75" customHeight="1">
      <c r="A220" s="214"/>
      <c r="B220" s="214"/>
      <c r="C220" s="214"/>
      <c r="D220" s="214"/>
      <c r="E220" s="214"/>
      <c r="F220" s="215"/>
      <c r="G220" s="216"/>
      <c r="H220" s="215"/>
    </row>
    <row r="221" ht="15.75" customHeight="1">
      <c r="A221" s="214"/>
      <c r="B221" s="214"/>
      <c r="C221" s="214"/>
      <c r="D221" s="214"/>
      <c r="E221" s="214"/>
      <c r="F221" s="215"/>
      <c r="G221" s="216"/>
      <c r="H221" s="215"/>
    </row>
    <row r="222" ht="15.75" customHeight="1">
      <c r="A222" s="214"/>
      <c r="B222" s="214"/>
      <c r="C222" s="214"/>
      <c r="D222" s="214"/>
      <c r="E222" s="214"/>
      <c r="F222" s="215"/>
      <c r="G222" s="216"/>
      <c r="H222" s="215"/>
    </row>
    <row r="223" ht="15.75" customHeight="1">
      <c r="A223" s="214"/>
      <c r="B223" s="214"/>
      <c r="C223" s="214"/>
      <c r="D223" s="214"/>
      <c r="E223" s="214"/>
      <c r="F223" s="215"/>
      <c r="G223" s="216"/>
      <c r="H223" s="215"/>
    </row>
    <row r="224" ht="15.75" customHeight="1">
      <c r="A224" s="214"/>
      <c r="B224" s="214"/>
      <c r="C224" s="214"/>
      <c r="D224" s="214"/>
      <c r="E224" s="214"/>
      <c r="F224" s="215"/>
      <c r="G224" s="216"/>
      <c r="H224" s="215"/>
    </row>
    <row r="225" ht="15.75" customHeight="1">
      <c r="A225" s="214"/>
      <c r="B225" s="214"/>
      <c r="C225" s="214"/>
      <c r="D225" s="214"/>
      <c r="E225" s="214"/>
      <c r="F225" s="215"/>
      <c r="G225" s="216"/>
      <c r="H225" s="215"/>
    </row>
    <row r="226" ht="15.75" customHeight="1">
      <c r="A226" s="214"/>
      <c r="B226" s="214"/>
      <c r="C226" s="214"/>
      <c r="D226" s="214"/>
      <c r="E226" s="214"/>
      <c r="F226" s="215"/>
      <c r="G226" s="216"/>
      <c r="H226" s="215"/>
    </row>
    <row r="227" ht="15.75" customHeight="1">
      <c r="A227" s="214"/>
      <c r="B227" s="214"/>
      <c r="C227" s="214"/>
      <c r="D227" s="214"/>
      <c r="E227" s="214"/>
      <c r="F227" s="215"/>
      <c r="G227" s="216"/>
      <c r="H227" s="215"/>
    </row>
    <row r="228" ht="15.75" customHeight="1">
      <c r="A228" s="214"/>
      <c r="B228" s="214"/>
      <c r="C228" s="214"/>
      <c r="D228" s="214"/>
      <c r="E228" s="214"/>
      <c r="F228" s="215"/>
      <c r="G228" s="216"/>
      <c r="H228" s="215"/>
    </row>
    <row r="229" ht="15.75" customHeight="1">
      <c r="A229" s="214"/>
      <c r="B229" s="214"/>
      <c r="C229" s="214"/>
      <c r="D229" s="214"/>
      <c r="E229" s="214"/>
      <c r="F229" s="215"/>
      <c r="G229" s="216"/>
      <c r="H229" s="215"/>
    </row>
    <row r="230" ht="15.75" customHeight="1">
      <c r="A230" s="214"/>
      <c r="B230" s="214"/>
      <c r="C230" s="214"/>
      <c r="D230" s="214"/>
      <c r="E230" s="214"/>
      <c r="F230" s="215"/>
      <c r="G230" s="216"/>
      <c r="H230" s="215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F6:F8"/>
    <mergeCell ref="F9:F11"/>
    <mergeCell ref="A7:A16"/>
    <mergeCell ref="A22:A24"/>
    <mergeCell ref="A28:A30"/>
    <mergeCell ref="B2:F2"/>
    <mergeCell ref="B3:F3"/>
    <mergeCell ref="B5:D5"/>
    <mergeCell ref="F5:H5"/>
    <mergeCell ref="B6:B8"/>
    <mergeCell ref="B9:B11"/>
    <mergeCell ref="B17:D1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25"/>
    <col customWidth="1" min="3" max="3" width="11.38"/>
    <col customWidth="1" min="4" max="4" width="7.13"/>
    <col customWidth="1" min="5" max="5" width="6.38"/>
    <col customWidth="1" min="6" max="6" width="22.63"/>
    <col customWidth="1" min="7" max="7" width="11.25"/>
    <col customWidth="1" min="8" max="8" width="10.13"/>
    <col customWidth="1" min="9" max="9" width="9.0"/>
    <col customWidth="1" min="10" max="10" width="7.38"/>
  </cols>
  <sheetData>
    <row r="1" ht="15.75" customHeight="1">
      <c r="A1" s="259"/>
      <c r="B1" s="260"/>
      <c r="C1" s="261"/>
      <c r="D1" s="261"/>
      <c r="E1" s="262"/>
      <c r="F1" s="215"/>
      <c r="G1" s="215"/>
      <c r="H1" s="215"/>
      <c r="I1" s="214"/>
      <c r="J1" s="214"/>
    </row>
    <row r="2" ht="25.5" customHeight="1">
      <c r="B2" s="217" t="s">
        <v>242</v>
      </c>
      <c r="G2" s="215"/>
      <c r="H2" s="215"/>
      <c r="I2" s="214"/>
      <c r="J2" s="214"/>
    </row>
    <row r="3" ht="15.75" customHeight="1">
      <c r="F3" s="215"/>
      <c r="G3" s="215"/>
      <c r="H3" s="215"/>
      <c r="I3" s="214"/>
      <c r="J3" s="214"/>
    </row>
    <row r="4" ht="15.75" customHeight="1">
      <c r="A4" s="259"/>
      <c r="B4" s="219" t="s">
        <v>208</v>
      </c>
      <c r="G4" s="215"/>
      <c r="H4" s="215"/>
      <c r="I4" s="214"/>
      <c r="J4" s="214"/>
    </row>
    <row r="5" ht="15.75" customHeight="1">
      <c r="A5" s="259"/>
      <c r="B5" s="263" t="s">
        <v>243</v>
      </c>
      <c r="C5" s="264">
        <v>300.0</v>
      </c>
      <c r="D5" s="265" t="s">
        <v>28</v>
      </c>
      <c r="E5" s="266">
        <f>C5*PI()/180</f>
        <v>5.235987756</v>
      </c>
      <c r="F5" s="267" t="s">
        <v>26</v>
      </c>
      <c r="G5" s="215"/>
      <c r="H5" s="215"/>
      <c r="I5" s="214"/>
      <c r="J5" s="214"/>
    </row>
    <row r="6" ht="15.75" customHeight="1">
      <c r="A6" s="259"/>
      <c r="B6" s="268" t="s">
        <v>244</v>
      </c>
      <c r="C6" s="269">
        <f>'JD Sidereal'!C15</f>
        <v>0</v>
      </c>
      <c r="D6" s="265" t="s">
        <v>55</v>
      </c>
      <c r="E6" s="270"/>
      <c r="F6" s="267"/>
      <c r="G6" s="215"/>
      <c r="H6" s="215"/>
      <c r="I6" s="214"/>
      <c r="J6" s="214"/>
    </row>
    <row r="7" ht="15.75" customHeight="1">
      <c r="A7" s="259"/>
      <c r="B7" s="263" t="s">
        <v>245</v>
      </c>
      <c r="C7" s="264">
        <f>'JD Sidereal'!C14</f>
        <v>60</v>
      </c>
      <c r="D7" s="265" t="s">
        <v>28</v>
      </c>
      <c r="E7" s="266">
        <f>C7*PI()/180</f>
        <v>1.047197551</v>
      </c>
      <c r="F7" s="267" t="s">
        <v>26</v>
      </c>
      <c r="G7" s="215"/>
      <c r="H7" s="215"/>
      <c r="I7" s="214"/>
      <c r="J7" s="214"/>
    </row>
    <row r="8" ht="15.75" customHeight="1">
      <c r="A8" s="259"/>
      <c r="B8" s="268" t="s">
        <v>246</v>
      </c>
      <c r="C8" s="269">
        <v>2551.0</v>
      </c>
      <c r="D8" s="265" t="s">
        <v>55</v>
      </c>
      <c r="E8" s="270"/>
      <c r="F8" s="267"/>
      <c r="G8" s="215"/>
      <c r="H8" s="215"/>
      <c r="I8" s="214"/>
      <c r="J8" s="214"/>
    </row>
    <row r="9" ht="15.75" customHeight="1">
      <c r="A9" s="259"/>
      <c r="B9" s="263" t="s">
        <v>247</v>
      </c>
      <c r="C9" s="264">
        <v>90.0</v>
      </c>
      <c r="D9" s="265" t="s">
        <v>28</v>
      </c>
      <c r="E9" s="266">
        <f t="shared" ref="E9:E10" si="1">C9*PI()/180</f>
        <v>1.570796327</v>
      </c>
      <c r="F9" s="267" t="s">
        <v>26</v>
      </c>
      <c r="G9" s="215"/>
      <c r="H9" s="215"/>
      <c r="I9" s="214"/>
      <c r="J9" s="214"/>
    </row>
    <row r="10" ht="15.75" customHeight="1">
      <c r="A10" s="259"/>
      <c r="B10" s="268" t="s">
        <v>248</v>
      </c>
      <c r="C10" s="269">
        <v>30.0</v>
      </c>
      <c r="D10" s="265" t="s">
        <v>28</v>
      </c>
      <c r="E10" s="271">
        <f t="shared" si="1"/>
        <v>0.5235987756</v>
      </c>
      <c r="F10" s="267" t="s">
        <v>26</v>
      </c>
      <c r="G10" s="215"/>
      <c r="H10" s="215"/>
      <c r="I10" s="214"/>
      <c r="J10" s="214"/>
    </row>
    <row r="11" ht="15.75" customHeight="1">
      <c r="A11" s="259"/>
      <c r="B11" s="263" t="s">
        <v>249</v>
      </c>
      <c r="C11" s="264">
        <v>0.0</v>
      </c>
      <c r="D11" s="265"/>
      <c r="E11" s="272"/>
      <c r="F11" s="273"/>
      <c r="G11" s="274"/>
      <c r="H11" s="274"/>
      <c r="I11" s="275"/>
      <c r="J11" s="214"/>
    </row>
    <row r="12" ht="15.75" customHeight="1">
      <c r="A12" s="259"/>
      <c r="B12" s="268" t="s">
        <v>250</v>
      </c>
      <c r="C12" s="269">
        <f>0.001973</f>
        <v>0.001973</v>
      </c>
      <c r="D12" s="265" t="s">
        <v>251</v>
      </c>
      <c r="E12" s="272"/>
      <c r="F12" s="273"/>
      <c r="G12" s="274"/>
      <c r="H12" s="274"/>
      <c r="I12" s="275"/>
      <c r="J12" s="214"/>
    </row>
    <row r="13" ht="15.75" customHeight="1">
      <c r="A13" s="259"/>
      <c r="B13" s="263" t="s">
        <v>252</v>
      </c>
      <c r="C13" s="264">
        <f>0.0009864</f>
        <v>0.0009864</v>
      </c>
      <c r="D13" s="265" t="s">
        <v>251</v>
      </c>
      <c r="E13" s="272"/>
      <c r="F13" s="273"/>
      <c r="G13" s="274"/>
      <c r="H13" s="274"/>
      <c r="I13" s="275"/>
      <c r="J13" s="214"/>
    </row>
    <row r="14" ht="15.75" customHeight="1">
      <c r="A14" s="259"/>
      <c r="B14" s="268" t="s">
        <v>253</v>
      </c>
      <c r="C14" s="269">
        <v>0.003353</v>
      </c>
      <c r="D14" s="265"/>
      <c r="E14" s="272"/>
      <c r="F14" s="273"/>
      <c r="G14" s="274"/>
      <c r="H14" s="274"/>
      <c r="I14" s="275"/>
      <c r="J14" s="214"/>
    </row>
    <row r="15" ht="15.75" customHeight="1">
      <c r="A15" s="259"/>
      <c r="B15" s="263" t="s">
        <v>254</v>
      </c>
      <c r="C15" s="264">
        <v>0.0</v>
      </c>
      <c r="D15" s="276" t="s">
        <v>255</v>
      </c>
      <c r="E15" s="272"/>
      <c r="F15" s="273"/>
      <c r="G15" s="274"/>
      <c r="H15" s="274"/>
      <c r="I15" s="275"/>
      <c r="J15" s="214"/>
    </row>
    <row r="16" ht="25.5" customHeight="1">
      <c r="A16" s="259"/>
      <c r="C16" s="269">
        <v>0.0</v>
      </c>
      <c r="D16" s="276" t="s">
        <v>256</v>
      </c>
      <c r="E16" s="272"/>
      <c r="F16" s="273"/>
      <c r="G16" s="274"/>
      <c r="H16" s="274"/>
      <c r="I16" s="275"/>
      <c r="J16" s="214"/>
    </row>
    <row r="17" ht="15.75" customHeight="1">
      <c r="A17" s="259"/>
      <c r="C17" s="264">
        <f>0.00007292</f>
        <v>0.00007292</v>
      </c>
      <c r="D17" s="276" t="s">
        <v>169</v>
      </c>
      <c r="E17" s="277"/>
      <c r="F17" s="273"/>
      <c r="G17" s="274"/>
      <c r="H17" s="274"/>
      <c r="I17" s="275"/>
      <c r="J17" s="214"/>
    </row>
    <row r="18" ht="15.75" customHeight="1">
      <c r="A18" s="259"/>
      <c r="B18" s="245" t="s">
        <v>228</v>
      </c>
    </row>
    <row r="19" ht="15.75" customHeight="1">
      <c r="A19" s="246" t="s">
        <v>257</v>
      </c>
      <c r="B19" s="278" t="s">
        <v>258</v>
      </c>
      <c r="C19" s="279">
        <f>((6378/SQRT(1-((2*C14)-(C14^2))*(SIN(E7))^2))+C6)*COS(E7)*COS(E5)</f>
        <v>1598.518185</v>
      </c>
      <c r="D19" s="280" t="s">
        <v>255</v>
      </c>
      <c r="E19" s="281"/>
      <c r="F19" s="282" t="s">
        <v>259</v>
      </c>
      <c r="G19" s="283">
        <f>SQRT(C29^2+C30^2+C31^2)</f>
        <v>7950.594735</v>
      </c>
      <c r="H19" s="284" t="s">
        <v>55</v>
      </c>
      <c r="I19" s="285"/>
      <c r="J19" s="285"/>
    </row>
    <row r="20" ht="15.75" customHeight="1">
      <c r="C20" s="279">
        <f>((6378/SQRT(1-(2*C14-C14^2)*(SIN(E7))^2))+C6)*COS(E7)*SIN(E5)</f>
        <v>-2768.714712</v>
      </c>
      <c r="D20" s="280" t="s">
        <v>256</v>
      </c>
      <c r="E20" s="281"/>
      <c r="F20" s="286" t="s">
        <v>260</v>
      </c>
      <c r="G20" s="287">
        <f>SQRT(C40^2+C41^2+C42^2)</f>
        <v>4.812925905</v>
      </c>
      <c r="H20" s="288" t="s">
        <v>195</v>
      </c>
      <c r="I20" s="285"/>
      <c r="J20" s="285"/>
    </row>
    <row r="21" ht="15.75" customHeight="1">
      <c r="C21" s="279">
        <f>(((6378*(1-C14)^2)/SQRT(1-(2*C14-C14^2)*(SIN(E7))^2))+C6)*SIN(E7)</f>
        <v>5500.357678</v>
      </c>
      <c r="D21" s="280" t="s">
        <v>169</v>
      </c>
      <c r="E21" s="281"/>
      <c r="F21" s="282" t="s">
        <v>261</v>
      </c>
      <c r="G21" s="289">
        <f>(C29*C40+C30*C41+C31*C42)/G19</f>
        <v>1.753919179</v>
      </c>
      <c r="H21" s="284" t="s">
        <v>195</v>
      </c>
      <c r="I21" s="285"/>
      <c r="J21" s="285"/>
    </row>
    <row r="22" ht="15.75" customHeight="1">
      <c r="A22" s="246" t="s">
        <v>262</v>
      </c>
      <c r="B22" s="290" t="s">
        <v>263</v>
      </c>
      <c r="C22" s="291">
        <f>asin(((COS(E7)*COS(E9)*COS(E10)+SIN(E7)*SIN(E10))))</f>
        <v>0.4478323969</v>
      </c>
      <c r="D22" s="265" t="s">
        <v>26</v>
      </c>
      <c r="E22" s="281"/>
      <c r="F22" s="286" t="s">
        <v>264</v>
      </c>
      <c r="G22" s="292">
        <f>C30*C42-C31*C41</f>
        <v>30782.5752</v>
      </c>
      <c r="H22" s="288" t="s">
        <v>265</v>
      </c>
      <c r="I22" s="285"/>
      <c r="J22" s="285"/>
    </row>
    <row r="23" ht="15.75" customHeight="1">
      <c r="A23" s="246"/>
      <c r="B23" s="293"/>
      <c r="C23" s="279">
        <f>C22*180/PI()</f>
        <v>25.65890627</v>
      </c>
      <c r="D23" s="280" t="s">
        <v>28</v>
      </c>
      <c r="E23" s="281"/>
      <c r="F23" s="286" t="s">
        <v>266</v>
      </c>
      <c r="G23" s="292">
        <f>C31*C40-C29*C42</f>
        <v>11054.7226</v>
      </c>
      <c r="I23" s="285"/>
      <c r="J23" s="285"/>
    </row>
    <row r="24" ht="15.75" customHeight="1">
      <c r="A24" s="246" t="s">
        <v>267</v>
      </c>
      <c r="B24" s="290" t="s">
        <v>268</v>
      </c>
      <c r="C24" s="294">
        <f>IF(C9&lt;180, 360-degrees(ACOS((COS(E7)*SIN(E10)-SIN(E7)*COS(E9)*COS(E10))/COS(C22))), DEGREES(ACOS((COS(E7)*SIN(E10)-SIN(E7)*COS(E9)*COS(E10))/COS(C22))))</f>
        <v>286.1021138</v>
      </c>
      <c r="D24" s="265" t="s">
        <v>28</v>
      </c>
      <c r="E24" s="281"/>
      <c r="F24" s="286" t="s">
        <v>269</v>
      </c>
      <c r="G24" s="292">
        <f>C29*C41-C30*C40</f>
        <v>-14143.17607</v>
      </c>
      <c r="I24" s="285"/>
      <c r="J24" s="285"/>
    </row>
    <row r="25" ht="15.75" customHeight="1">
      <c r="A25" s="246"/>
      <c r="B25" s="295" t="s">
        <v>270</v>
      </c>
      <c r="C25" s="279">
        <f>C5-C24</f>
        <v>13.89788625</v>
      </c>
      <c r="D25" s="280" t="s">
        <v>28</v>
      </c>
      <c r="E25" s="281"/>
      <c r="F25" s="282" t="s">
        <v>271</v>
      </c>
      <c r="G25" s="283">
        <f>SQRT(G22^2+G23^2+G24^2)</f>
        <v>35634.29888</v>
      </c>
      <c r="H25" s="284" t="s">
        <v>265</v>
      </c>
      <c r="I25" s="285"/>
      <c r="J25" s="285"/>
    </row>
    <row r="26" ht="15.75" customHeight="1">
      <c r="A26" s="246" t="s">
        <v>272</v>
      </c>
      <c r="B26" s="296" t="s">
        <v>273</v>
      </c>
      <c r="C26" s="297">
        <f>COS(RADIANS(C23)) * COS(RADIANS(C25))</f>
        <v>0.875</v>
      </c>
      <c r="D26" s="265" t="s">
        <v>255</v>
      </c>
      <c r="E26" s="281"/>
      <c r="F26" s="286" t="s">
        <v>182</v>
      </c>
      <c r="G26" s="292">
        <f>DEGREES(ACOS(G24/G25))</f>
        <v>113.3843898</v>
      </c>
      <c r="H26" s="288" t="s">
        <v>28</v>
      </c>
      <c r="I26" s="298">
        <f>RADIANS(G26)</f>
        <v>1.978930923</v>
      </c>
      <c r="J26" s="288" t="s">
        <v>26</v>
      </c>
      <c r="K26" s="299"/>
    </row>
    <row r="27" ht="15.75" customHeight="1">
      <c r="C27" s="297">
        <f>COS(RADIANS(C23)) * SIN(RADIANS(C25))</f>
        <v>0.2165063509</v>
      </c>
      <c r="D27" s="265" t="s">
        <v>256</v>
      </c>
      <c r="E27" s="281"/>
      <c r="F27" s="282" t="s">
        <v>274</v>
      </c>
      <c r="G27" s="283">
        <f>-G23</f>
        <v>-11054.7226</v>
      </c>
      <c r="H27" s="284" t="s">
        <v>265</v>
      </c>
      <c r="I27" s="285"/>
      <c r="J27" s="285"/>
    </row>
    <row r="28" ht="15.75" customHeight="1">
      <c r="C28" s="297">
        <f>SIN(RADIANS(C23))</f>
        <v>0.4330127019</v>
      </c>
      <c r="D28" s="265" t="s">
        <v>169</v>
      </c>
      <c r="E28" s="281"/>
      <c r="F28" s="282" t="s">
        <v>275</v>
      </c>
      <c r="G28" s="283">
        <f>G22</f>
        <v>30782.5752</v>
      </c>
      <c r="I28" s="285"/>
      <c r="J28" s="285"/>
    </row>
    <row r="29" ht="15.75" customHeight="1">
      <c r="A29" s="246" t="s">
        <v>276</v>
      </c>
      <c r="B29" s="278" t="s">
        <v>277</v>
      </c>
      <c r="C29" s="300">
        <f>C19 + (C8 * C26)</f>
        <v>3830.643185</v>
      </c>
      <c r="D29" s="280" t="s">
        <v>55</v>
      </c>
      <c r="E29" s="281"/>
      <c r="F29" s="282" t="s">
        <v>278</v>
      </c>
      <c r="G29" s="301">
        <v>0.0</v>
      </c>
      <c r="I29" s="285"/>
      <c r="J29" s="285"/>
    </row>
    <row r="30" ht="15.75" customHeight="1">
      <c r="C30" s="300">
        <f>C20 + (C8 * C27)</f>
        <v>-2216.407011</v>
      </c>
      <c r="E30" s="281"/>
      <c r="F30" s="286" t="s">
        <v>279</v>
      </c>
      <c r="G30" s="292">
        <f>SQRT(G27^2+G28^2+G29^2)</f>
        <v>32707.39714</v>
      </c>
      <c r="H30" s="288" t="s">
        <v>265</v>
      </c>
      <c r="I30" s="285"/>
      <c r="J30" s="285"/>
    </row>
    <row r="31" ht="15.75" customHeight="1">
      <c r="C31" s="300">
        <f>C21 + (C8 * C28)</f>
        <v>6604.973081</v>
      </c>
      <c r="E31" s="281"/>
      <c r="F31" s="282" t="s">
        <v>280</v>
      </c>
      <c r="G31" s="302">
        <f>DEGREES(ACOS(G27/G30))</f>
        <v>109.7543671</v>
      </c>
      <c r="H31" s="284" t="s">
        <v>28</v>
      </c>
      <c r="I31" s="302">
        <f>360-G31</f>
        <v>250.2456329</v>
      </c>
      <c r="J31" s="284" t="s">
        <v>28</v>
      </c>
    </row>
    <row r="32" ht="15.75" customHeight="1">
      <c r="A32" s="246" t="s">
        <v>281</v>
      </c>
      <c r="B32" s="296" t="s">
        <v>282</v>
      </c>
      <c r="C32" s="297">
        <f>C15*C21-C17*C20</f>
        <v>0.2018946768</v>
      </c>
      <c r="D32" s="265" t="s">
        <v>195</v>
      </c>
      <c r="E32" s="281"/>
      <c r="G32" s="283">
        <f>IF(G28&lt;0,I31,G31)</f>
        <v>109.7543671</v>
      </c>
      <c r="H32" s="284" t="s">
        <v>28</v>
      </c>
      <c r="I32" s="285"/>
      <c r="J32" s="285"/>
    </row>
    <row r="33" ht="15.75" customHeight="1">
      <c r="C33" s="297">
        <f>-1*(C15*C21-C19*C17)</f>
        <v>0.116563946</v>
      </c>
      <c r="E33" s="281"/>
      <c r="F33" s="286" t="s">
        <v>283</v>
      </c>
      <c r="G33" s="303">
        <f>((G20^2-(398600/G19))*C29-(G19*G21*C40))/398600</f>
        <v>-0.3118165301</v>
      </c>
      <c r="H33" s="285"/>
      <c r="I33" s="285"/>
      <c r="J33" s="285"/>
    </row>
    <row r="34" ht="15.75" customHeight="1">
      <c r="C34" s="297">
        <f>C15*C20-C19*C16</f>
        <v>0</v>
      </c>
      <c r="E34" s="281"/>
      <c r="F34" s="286" t="s">
        <v>284</v>
      </c>
      <c r="G34" s="304">
        <f>((G20^2-(398600/G19))*C30-G19*G21*C41)/398600</f>
        <v>0.3095824728</v>
      </c>
      <c r="H34" s="285"/>
      <c r="I34" s="285"/>
      <c r="J34" s="285"/>
    </row>
    <row r="35" ht="15.75" customHeight="1">
      <c r="A35" s="246" t="s">
        <v>285</v>
      </c>
      <c r="B35" s="305" t="s">
        <v>286</v>
      </c>
      <c r="C35" s="306">
        <f>(1/COS(C22))*(((-C12)*COS(E7)*SIN(E9)*COS(E10))+(C13*(SIN(E7)*COS(E10)-(COS(E7)*COS(E9)*SIN(E10)))))
</f>
        <v>-0.000127064132</v>
      </c>
      <c r="D35" s="280" t="s">
        <v>251</v>
      </c>
      <c r="E35" s="281"/>
      <c r="F35" s="307" t="s">
        <v>287</v>
      </c>
      <c r="G35" s="304">
        <f>((G20^2-(398600/G19))*C31-G19*G21*C42)/398600</f>
        <v>-0.4366888595</v>
      </c>
      <c r="H35" s="285"/>
      <c r="I35" s="285"/>
      <c r="J35" s="285"/>
    </row>
    <row r="36" ht="15.75" customHeight="1">
      <c r="A36" s="246" t="s">
        <v>288</v>
      </c>
      <c r="B36" s="290" t="s">
        <v>289</v>
      </c>
      <c r="C36" s="308">
        <f>C17+((C12*cos(E9)*cos(E10))-(C13*sin(E9)*sin(E10))+(C35*sin(E9)*cos(E10)*tan(C22)))/((cos(E7)*sin(E10))-(sin(E7)*cos(E9)*cos(E10)))</f>
        <v>-0.002111327497</v>
      </c>
      <c r="D36" s="265" t="s">
        <v>251</v>
      </c>
      <c r="E36" s="281"/>
      <c r="F36" s="286" t="s">
        <v>192</v>
      </c>
      <c r="G36" s="304">
        <f>SQRT(G33^2+G34^2+G35^2)</f>
        <v>0.6194901257</v>
      </c>
      <c r="H36" s="285"/>
      <c r="I36" s="285"/>
      <c r="J36" s="285"/>
    </row>
    <row r="37" ht="15.75" customHeight="1">
      <c r="A37" s="246" t="s">
        <v>290</v>
      </c>
      <c r="B37" s="309" t="s">
        <v>291</v>
      </c>
      <c r="C37" s="306">
        <f>(-C36*SIN(RADIANS(C25))*COS(C22))-(C35*COS(RADIANS(C25))*SIN(C22))</f>
        <v>0.0005105254923</v>
      </c>
      <c r="D37" s="280" t="s">
        <v>251</v>
      </c>
      <c r="E37" s="281"/>
      <c r="F37" s="282" t="s">
        <v>292</v>
      </c>
      <c r="G37" s="302">
        <f>DEGREES(ACOS((G27*G33+G28*G34+G29*G35)/(G30*G36)))</f>
        <v>50.17442913</v>
      </c>
      <c r="H37" s="284" t="s">
        <v>28</v>
      </c>
      <c r="I37" s="302">
        <f>360-G37</f>
        <v>309.8255709</v>
      </c>
      <c r="J37" s="284" t="s">
        <v>28</v>
      </c>
    </row>
    <row r="38" ht="15.75" customHeight="1">
      <c r="B38" s="309" t="s">
        <v>293</v>
      </c>
      <c r="C38" s="306">
        <f>C36*COS(RADIANS(C25))*COS(C22)-(C35*SIN(RADIANS(C25))*SIN(C22))</f>
        <v>-0.001834196091</v>
      </c>
      <c r="E38" s="281"/>
      <c r="G38" s="283">
        <f>IF(G35&gt;0,G37,I37)</f>
        <v>309.8255709</v>
      </c>
      <c r="H38" s="284" t="s">
        <v>28</v>
      </c>
      <c r="I38" s="285"/>
      <c r="J38" s="285"/>
    </row>
    <row r="39" ht="15.75" customHeight="1">
      <c r="B39" s="309" t="s">
        <v>294</v>
      </c>
      <c r="C39" s="306">
        <f>C35*COS(C22)</f>
        <v>-0.0001145340608</v>
      </c>
      <c r="E39" s="281"/>
      <c r="F39" s="286" t="s">
        <v>25</v>
      </c>
      <c r="G39" s="302">
        <f>DEGREES(ACOS((G33*C29+G34*C30+G35*C31)/(G36*G19)))</f>
        <v>165.3384876</v>
      </c>
      <c r="H39" s="284" t="s">
        <v>28</v>
      </c>
      <c r="I39" s="302">
        <f>360-G39</f>
        <v>194.6615124</v>
      </c>
      <c r="J39" s="284" t="s">
        <v>28</v>
      </c>
    </row>
    <row r="40" ht="15.75" customHeight="1">
      <c r="A40" s="246" t="s">
        <v>295</v>
      </c>
      <c r="B40" s="310" t="s">
        <v>296</v>
      </c>
      <c r="C40" s="311">
        <f>C32+(C11*C26)+(C8*C37)</f>
        <v>1.504245208</v>
      </c>
      <c r="D40" s="265" t="s">
        <v>195</v>
      </c>
      <c r="E40" s="281"/>
      <c r="G40" s="292">
        <f>IF(G39&lt;0,I39,G39)</f>
        <v>165.3384876</v>
      </c>
      <c r="H40" s="288" t="s">
        <v>28</v>
      </c>
      <c r="I40" s="285"/>
      <c r="J40" s="285"/>
    </row>
    <row r="41" ht="15.75" customHeight="1">
      <c r="B41" s="309" t="s">
        <v>293</v>
      </c>
      <c r="C41" s="311">
        <f>C33+(C11*C27)+(C8*C38)</f>
        <v>-4.562470283</v>
      </c>
      <c r="E41" s="281"/>
      <c r="F41" s="282" t="s">
        <v>297</v>
      </c>
      <c r="G41" s="283">
        <f>(G25^2/398600)/(1+G36*COS(PI()))</f>
        <v>8372.076942</v>
      </c>
      <c r="H41" s="284" t="s">
        <v>55</v>
      </c>
      <c r="I41" s="285"/>
      <c r="J41" s="285"/>
    </row>
    <row r="42" ht="15.75" customHeight="1">
      <c r="B42" s="310" t="s">
        <v>294</v>
      </c>
      <c r="C42" s="311">
        <f>C34+(C11*C28)+(C8*C39)</f>
        <v>-0.2921763892</v>
      </c>
      <c r="E42" s="281"/>
      <c r="F42" s="286" t="s">
        <v>298</v>
      </c>
      <c r="G42" s="292">
        <f>(G25^2/398600)/(1+G36*COS(0))</f>
        <v>1967.074633</v>
      </c>
      <c r="H42" s="288" t="s">
        <v>55</v>
      </c>
      <c r="I42" s="285"/>
      <c r="J42" s="285"/>
    </row>
    <row r="43" ht="15.75" customHeight="1">
      <c r="A43" s="312"/>
      <c r="B43" s="313"/>
      <c r="C43" s="313"/>
      <c r="D43" s="313"/>
      <c r="E43" s="281"/>
      <c r="F43" s="282" t="s">
        <v>299</v>
      </c>
      <c r="G43" s="283">
        <f>AVERAGE(G41:G42)</f>
        <v>5169.575788</v>
      </c>
      <c r="H43" s="284" t="s">
        <v>55</v>
      </c>
      <c r="I43" s="285"/>
      <c r="J43" s="285"/>
    </row>
    <row r="44" ht="15.75" customHeight="1">
      <c r="A44" s="312"/>
      <c r="B44" s="313"/>
      <c r="C44" s="313"/>
      <c r="D44" s="313"/>
      <c r="E44" s="281"/>
      <c r="F44" s="286" t="s">
        <v>8</v>
      </c>
      <c r="G44" s="292">
        <f>(2*PI()*(G43^1.5))/SQRT(398600)</f>
        <v>3699.078784</v>
      </c>
      <c r="H44" s="288" t="s">
        <v>64</v>
      </c>
      <c r="I44" s="287">
        <f>G44/3600</f>
        <v>1.027521884</v>
      </c>
      <c r="J44" s="284" t="s">
        <v>241</v>
      </c>
    </row>
    <row r="45" ht="15.75" customHeight="1">
      <c r="A45" s="312"/>
      <c r="B45" s="313"/>
      <c r="C45" s="313"/>
      <c r="D45" s="313"/>
      <c r="E45" s="281"/>
      <c r="F45" s="281"/>
      <c r="G45" s="281"/>
      <c r="H45" s="281"/>
      <c r="I45" s="281"/>
      <c r="J45" s="285"/>
    </row>
    <row r="46" ht="15.75" customHeight="1">
      <c r="A46" s="312"/>
      <c r="B46" s="313"/>
      <c r="C46" s="313"/>
      <c r="D46" s="313"/>
      <c r="E46" s="281"/>
      <c r="F46" s="314" t="s">
        <v>300</v>
      </c>
      <c r="G46" s="315" t="s">
        <v>191</v>
      </c>
      <c r="H46" s="316">
        <f>G43</f>
        <v>5169.575788</v>
      </c>
      <c r="I46" s="284" t="s">
        <v>55</v>
      </c>
      <c r="J46" s="285"/>
    </row>
    <row r="47" ht="15.75" customHeight="1">
      <c r="A47" s="312"/>
      <c r="B47" s="313"/>
      <c r="C47" s="313"/>
      <c r="D47" s="313"/>
      <c r="E47" s="281"/>
      <c r="G47" s="317" t="s">
        <v>192</v>
      </c>
      <c r="H47" s="318">
        <f>G36</f>
        <v>0.6194901257</v>
      </c>
      <c r="I47" s="284"/>
      <c r="J47" s="285"/>
    </row>
    <row r="48" ht="15.75" customHeight="1">
      <c r="A48" s="312"/>
      <c r="B48" s="313"/>
      <c r="C48" s="313"/>
      <c r="D48" s="313"/>
      <c r="E48" s="281"/>
      <c r="G48" s="315" t="s">
        <v>182</v>
      </c>
      <c r="H48" s="319">
        <f>G26</f>
        <v>113.3843898</v>
      </c>
      <c r="I48" s="284" t="s">
        <v>28</v>
      </c>
      <c r="J48" s="285"/>
    </row>
    <row r="49" ht="15.75" customHeight="1">
      <c r="A49" s="312"/>
      <c r="B49" s="313"/>
      <c r="C49" s="313"/>
      <c r="D49" s="313"/>
      <c r="E49" s="281"/>
      <c r="G49" s="317" t="s">
        <v>184</v>
      </c>
      <c r="H49" s="320">
        <f>G38</f>
        <v>309.8255709</v>
      </c>
      <c r="I49" s="284" t="s">
        <v>28</v>
      </c>
      <c r="J49" s="285"/>
    </row>
    <row r="50" ht="15.75" customHeight="1">
      <c r="A50" s="246"/>
      <c r="B50" s="321"/>
      <c r="C50" s="313"/>
      <c r="D50" s="313"/>
      <c r="E50" s="281"/>
      <c r="G50" s="315" t="s">
        <v>196</v>
      </c>
      <c r="H50" s="319">
        <f>G32</f>
        <v>109.7543671</v>
      </c>
      <c r="I50" s="284" t="s">
        <v>28</v>
      </c>
      <c r="J50" s="285"/>
    </row>
    <row r="51" ht="15.75" customHeight="1">
      <c r="A51" s="246"/>
      <c r="B51" s="321"/>
      <c r="C51" s="322"/>
      <c r="D51" s="322"/>
      <c r="E51" s="323"/>
      <c r="G51" s="317" t="s">
        <v>189</v>
      </c>
      <c r="H51" s="320">
        <f>G40</f>
        <v>165.3384876</v>
      </c>
      <c r="I51" s="284" t="s">
        <v>28</v>
      </c>
      <c r="J51" s="313"/>
    </row>
    <row r="52" ht="15.75" customHeight="1">
      <c r="A52" s="246"/>
      <c r="B52" s="321"/>
      <c r="C52" s="322"/>
      <c r="D52" s="322"/>
      <c r="E52" s="323"/>
      <c r="F52" s="313"/>
      <c r="G52" s="313"/>
      <c r="H52" s="313"/>
      <c r="I52" s="313"/>
      <c r="J52" s="313"/>
    </row>
    <row r="53" ht="15.75" customHeight="1">
      <c r="A53" s="259"/>
      <c r="B53" s="260"/>
      <c r="C53" s="261"/>
      <c r="D53" s="261"/>
      <c r="E53" s="262"/>
      <c r="G53" s="274"/>
      <c r="H53" s="274"/>
      <c r="I53" s="275"/>
      <c r="J53" s="214"/>
    </row>
    <row r="54" ht="15.75" customHeight="1">
      <c r="A54" s="259"/>
      <c r="B54" s="260"/>
      <c r="C54" s="261"/>
      <c r="D54" s="261"/>
      <c r="E54" s="262"/>
      <c r="G54" s="274"/>
      <c r="H54" s="274"/>
      <c r="I54" s="275"/>
      <c r="J54" s="214"/>
    </row>
    <row r="55" ht="15.75" customHeight="1">
      <c r="A55" s="259"/>
      <c r="B55" s="260"/>
      <c r="C55" s="261"/>
      <c r="D55" s="261"/>
      <c r="E55" s="262"/>
      <c r="G55" s="215"/>
      <c r="H55" s="215"/>
      <c r="I55" s="214"/>
      <c r="J55" s="214"/>
    </row>
    <row r="56" ht="15.75" customHeight="1">
      <c r="A56" s="259"/>
      <c r="B56" s="260"/>
      <c r="C56" s="261"/>
      <c r="D56" s="261"/>
      <c r="E56" s="262"/>
      <c r="G56" s="215"/>
      <c r="H56" s="215"/>
      <c r="I56" s="214"/>
      <c r="J56" s="214"/>
    </row>
    <row r="57" ht="15.75" customHeight="1">
      <c r="A57" s="259"/>
      <c r="B57" s="260"/>
      <c r="C57" s="261"/>
      <c r="D57" s="261"/>
      <c r="E57" s="262"/>
      <c r="G57" s="215"/>
      <c r="H57" s="215"/>
      <c r="I57" s="214"/>
      <c r="J57" s="214"/>
    </row>
    <row r="58" ht="15.75" customHeight="1">
      <c r="A58" s="259"/>
      <c r="B58" s="260"/>
      <c r="C58" s="261"/>
      <c r="D58" s="261"/>
      <c r="E58" s="262"/>
      <c r="G58" s="215"/>
      <c r="H58" s="215"/>
      <c r="I58" s="214"/>
      <c r="J58" s="214"/>
    </row>
    <row r="59" ht="15.75" customHeight="1">
      <c r="A59" s="259"/>
      <c r="B59" s="260"/>
      <c r="C59" s="261"/>
      <c r="D59" s="261"/>
      <c r="E59" s="262"/>
      <c r="F59" s="215"/>
      <c r="G59" s="215"/>
      <c r="H59" s="215"/>
      <c r="I59" s="214"/>
      <c r="J59" s="214"/>
    </row>
    <row r="60" ht="15.75" customHeight="1">
      <c r="A60" s="259"/>
      <c r="B60" s="260"/>
      <c r="C60" s="261"/>
      <c r="D60" s="261"/>
      <c r="E60" s="262"/>
      <c r="F60" s="215"/>
      <c r="G60" s="215"/>
      <c r="H60" s="215"/>
      <c r="I60" s="214"/>
      <c r="J60" s="214"/>
    </row>
    <row r="61" ht="15.75" customHeight="1">
      <c r="A61" s="259"/>
      <c r="B61" s="260"/>
      <c r="C61" s="261"/>
      <c r="D61" s="261"/>
      <c r="E61" s="262"/>
      <c r="F61" s="215"/>
      <c r="G61" s="215"/>
      <c r="H61" s="215"/>
      <c r="I61" s="214"/>
      <c r="J61" s="214"/>
    </row>
    <row r="62" ht="15.75" customHeight="1">
      <c r="A62" s="259"/>
      <c r="B62" s="260"/>
      <c r="C62" s="261"/>
      <c r="D62" s="261"/>
      <c r="E62" s="262"/>
      <c r="F62" s="215"/>
      <c r="G62" s="215"/>
      <c r="H62" s="215"/>
      <c r="I62" s="214"/>
      <c r="J62" s="214"/>
    </row>
    <row r="63" ht="15.75" customHeight="1">
      <c r="A63" s="259"/>
      <c r="B63" s="260"/>
      <c r="C63" s="261"/>
      <c r="D63" s="261"/>
      <c r="E63" s="262"/>
      <c r="F63" s="215"/>
      <c r="G63" s="215"/>
      <c r="H63" s="215"/>
      <c r="I63" s="214"/>
      <c r="J63" s="214"/>
    </row>
    <row r="64" ht="15.75" customHeight="1">
      <c r="A64" s="259"/>
      <c r="B64" s="260"/>
      <c r="C64" s="261"/>
      <c r="D64" s="261"/>
      <c r="E64" s="262"/>
      <c r="F64" s="215"/>
      <c r="G64" s="215"/>
      <c r="H64" s="215"/>
      <c r="I64" s="214"/>
      <c r="J64" s="214"/>
    </row>
    <row r="65" ht="15.75" customHeight="1">
      <c r="A65" s="259"/>
      <c r="B65" s="260"/>
      <c r="C65" s="261"/>
      <c r="D65" s="261"/>
      <c r="E65" s="262"/>
      <c r="F65" s="215"/>
      <c r="G65" s="215"/>
      <c r="H65" s="215"/>
      <c r="I65" s="214"/>
      <c r="J65" s="214"/>
    </row>
    <row r="66" ht="15.75" customHeight="1">
      <c r="A66" s="259"/>
      <c r="B66" s="260"/>
      <c r="C66" s="261"/>
      <c r="D66" s="261"/>
      <c r="E66" s="262"/>
      <c r="F66" s="215"/>
      <c r="G66" s="215"/>
      <c r="H66" s="215"/>
      <c r="I66" s="214"/>
      <c r="J66" s="214"/>
    </row>
    <row r="67" ht="15.75" customHeight="1">
      <c r="A67" s="259"/>
      <c r="B67" s="260"/>
      <c r="C67" s="261"/>
      <c r="D67" s="261"/>
      <c r="E67" s="262"/>
      <c r="F67" s="215"/>
      <c r="G67" s="215"/>
      <c r="H67" s="215"/>
      <c r="I67" s="214"/>
      <c r="J67" s="214"/>
    </row>
    <row r="68" ht="15.75" customHeight="1">
      <c r="A68" s="259"/>
      <c r="B68" s="260"/>
      <c r="C68" s="261"/>
      <c r="D68" s="261"/>
      <c r="E68" s="262"/>
      <c r="F68" s="215"/>
      <c r="G68" s="215"/>
      <c r="H68" s="215"/>
      <c r="I68" s="214"/>
      <c r="J68" s="214"/>
    </row>
    <row r="69" ht="15.75" customHeight="1">
      <c r="A69" s="259"/>
      <c r="B69" s="260"/>
      <c r="C69" s="261"/>
      <c r="D69" s="261"/>
      <c r="E69" s="262"/>
      <c r="F69" s="215"/>
      <c r="G69" s="215"/>
      <c r="H69" s="215"/>
      <c r="I69" s="214"/>
      <c r="J69" s="214"/>
    </row>
    <row r="70" ht="15.75" customHeight="1">
      <c r="A70" s="259"/>
      <c r="B70" s="260"/>
      <c r="C70" s="261"/>
      <c r="D70" s="261"/>
      <c r="E70" s="262"/>
      <c r="F70" s="215"/>
      <c r="G70" s="215"/>
      <c r="H70" s="215"/>
      <c r="I70" s="214"/>
      <c r="J70" s="214"/>
    </row>
    <row r="71" ht="15.75" customHeight="1">
      <c r="A71" s="259"/>
      <c r="B71" s="260"/>
      <c r="C71" s="261"/>
      <c r="D71" s="261"/>
      <c r="E71" s="262"/>
      <c r="F71" s="215"/>
      <c r="G71" s="215"/>
      <c r="H71" s="215"/>
      <c r="I71" s="214"/>
      <c r="J71" s="214"/>
    </row>
    <row r="72" ht="15.75" customHeight="1">
      <c r="A72" s="259"/>
      <c r="B72" s="260"/>
      <c r="C72" s="261"/>
      <c r="D72" s="261"/>
      <c r="E72" s="262"/>
      <c r="F72" s="215"/>
      <c r="G72" s="215"/>
      <c r="H72" s="215"/>
      <c r="I72" s="214"/>
      <c r="J72" s="214"/>
    </row>
    <row r="73" ht="15.75" customHeight="1">
      <c r="A73" s="259"/>
      <c r="B73" s="260"/>
      <c r="C73" s="261"/>
      <c r="D73" s="261"/>
      <c r="E73" s="262"/>
      <c r="F73" s="215"/>
      <c r="G73" s="215"/>
      <c r="H73" s="215"/>
      <c r="I73" s="214"/>
      <c r="J73" s="214"/>
    </row>
    <row r="74" ht="15.75" customHeight="1">
      <c r="A74" s="259"/>
      <c r="B74" s="260"/>
      <c r="C74" s="261"/>
      <c r="D74" s="261"/>
      <c r="E74" s="262"/>
      <c r="F74" s="215"/>
      <c r="G74" s="215"/>
      <c r="H74" s="215"/>
      <c r="I74" s="214"/>
      <c r="J74" s="214"/>
    </row>
    <row r="75" ht="15.75" customHeight="1">
      <c r="A75" s="259"/>
      <c r="B75" s="260"/>
      <c r="C75" s="261"/>
      <c r="D75" s="261"/>
      <c r="E75" s="262"/>
      <c r="F75" s="215"/>
      <c r="G75" s="215"/>
      <c r="H75" s="215"/>
      <c r="I75" s="214"/>
      <c r="J75" s="214"/>
    </row>
    <row r="76" ht="15.75" customHeight="1">
      <c r="A76" s="259"/>
      <c r="B76" s="260"/>
      <c r="C76" s="261"/>
      <c r="D76" s="261"/>
      <c r="E76" s="262"/>
      <c r="F76" s="215"/>
      <c r="G76" s="215"/>
      <c r="H76" s="215"/>
      <c r="I76" s="214"/>
      <c r="J76" s="214"/>
    </row>
    <row r="77" ht="15.75" customHeight="1">
      <c r="A77" s="259"/>
      <c r="B77" s="260"/>
      <c r="C77" s="261"/>
      <c r="D77" s="261"/>
      <c r="E77" s="262"/>
      <c r="F77" s="215"/>
      <c r="G77" s="215"/>
      <c r="H77" s="215"/>
      <c r="I77" s="214"/>
      <c r="J77" s="214"/>
    </row>
    <row r="78" ht="15.75" customHeight="1">
      <c r="A78" s="259"/>
      <c r="B78" s="260"/>
      <c r="C78" s="261"/>
      <c r="D78" s="261"/>
      <c r="E78" s="262"/>
      <c r="F78" s="215"/>
      <c r="G78" s="215"/>
      <c r="H78" s="215"/>
      <c r="I78" s="214"/>
      <c r="J78" s="214"/>
    </row>
    <row r="79" ht="15.75" customHeight="1">
      <c r="A79" s="259"/>
      <c r="B79" s="260"/>
      <c r="C79" s="261"/>
      <c r="D79" s="261"/>
      <c r="E79" s="262"/>
      <c r="F79" s="215"/>
      <c r="G79" s="215"/>
      <c r="H79" s="215"/>
      <c r="I79" s="214"/>
      <c r="J79" s="214"/>
    </row>
    <row r="80" ht="15.75" customHeight="1">
      <c r="A80" s="259"/>
      <c r="B80" s="260"/>
      <c r="C80" s="261"/>
      <c r="D80" s="261"/>
      <c r="E80" s="262"/>
      <c r="F80" s="215"/>
      <c r="G80" s="215"/>
      <c r="H80" s="215"/>
      <c r="I80" s="214"/>
      <c r="J80" s="214"/>
    </row>
    <row r="81" ht="15.75" customHeight="1">
      <c r="A81" s="259"/>
      <c r="B81" s="260"/>
      <c r="C81" s="261"/>
      <c r="D81" s="261"/>
      <c r="E81" s="262"/>
      <c r="F81" s="215"/>
      <c r="G81" s="215"/>
      <c r="H81" s="215"/>
      <c r="I81" s="214"/>
      <c r="J81" s="214"/>
    </row>
    <row r="82" ht="15.75" customHeight="1">
      <c r="A82" s="259"/>
      <c r="B82" s="260"/>
      <c r="C82" s="261"/>
      <c r="D82" s="261"/>
      <c r="E82" s="262"/>
      <c r="F82" s="215"/>
      <c r="G82" s="215"/>
      <c r="H82" s="215"/>
      <c r="I82" s="214"/>
      <c r="J82" s="214"/>
    </row>
    <row r="83" ht="15.75" customHeight="1">
      <c r="A83" s="259"/>
      <c r="B83" s="260"/>
      <c r="C83" s="261"/>
      <c r="D83" s="261"/>
      <c r="E83" s="262"/>
      <c r="F83" s="215"/>
      <c r="G83" s="215"/>
      <c r="H83" s="215"/>
      <c r="I83" s="214"/>
      <c r="J83" s="214"/>
    </row>
    <row r="84" ht="15.75" customHeight="1">
      <c r="A84" s="259"/>
      <c r="B84" s="260"/>
      <c r="C84" s="261"/>
      <c r="D84" s="261"/>
      <c r="E84" s="262"/>
      <c r="F84" s="215"/>
      <c r="G84" s="215"/>
      <c r="H84" s="215"/>
      <c r="I84" s="214"/>
      <c r="J84" s="214"/>
    </row>
    <row r="85" ht="15.75" customHeight="1">
      <c r="A85" s="259"/>
      <c r="B85" s="260"/>
      <c r="C85" s="261"/>
      <c r="D85" s="261"/>
      <c r="E85" s="262"/>
      <c r="F85" s="215"/>
      <c r="G85" s="215"/>
      <c r="H85" s="215"/>
      <c r="I85" s="214"/>
      <c r="J85" s="214"/>
    </row>
    <row r="86" ht="15.75" customHeight="1">
      <c r="A86" s="259"/>
      <c r="B86" s="260"/>
      <c r="C86" s="261"/>
      <c r="D86" s="261"/>
      <c r="E86" s="262"/>
      <c r="F86" s="215"/>
      <c r="G86" s="215"/>
      <c r="H86" s="215"/>
      <c r="I86" s="214"/>
      <c r="J86" s="214"/>
    </row>
    <row r="87" ht="15.75" customHeight="1">
      <c r="A87" s="259"/>
      <c r="B87" s="260"/>
      <c r="C87" s="261"/>
      <c r="D87" s="261"/>
      <c r="E87" s="262"/>
      <c r="F87" s="215"/>
      <c r="G87" s="215"/>
      <c r="H87" s="215"/>
      <c r="I87" s="214"/>
      <c r="J87" s="214"/>
    </row>
    <row r="88" ht="15.75" customHeight="1">
      <c r="A88" s="259"/>
      <c r="B88" s="260"/>
      <c r="C88" s="261"/>
      <c r="D88" s="261"/>
      <c r="E88" s="262"/>
      <c r="F88" s="215"/>
      <c r="G88" s="215"/>
      <c r="H88" s="215"/>
      <c r="I88" s="214"/>
      <c r="J88" s="214"/>
    </row>
    <row r="89" ht="15.75" customHeight="1">
      <c r="A89" s="259"/>
      <c r="B89" s="260"/>
      <c r="C89" s="261"/>
      <c r="D89" s="261"/>
      <c r="E89" s="262"/>
      <c r="F89" s="215"/>
      <c r="G89" s="215"/>
      <c r="H89" s="215"/>
      <c r="I89" s="214"/>
      <c r="J89" s="214"/>
    </row>
    <row r="90" ht="15.75" customHeight="1">
      <c r="A90" s="259"/>
      <c r="B90" s="260"/>
      <c r="C90" s="261"/>
      <c r="D90" s="261"/>
      <c r="E90" s="262"/>
      <c r="F90" s="215"/>
      <c r="G90" s="215"/>
      <c r="H90" s="215"/>
      <c r="I90" s="214"/>
      <c r="J90" s="214"/>
    </row>
    <row r="91" ht="15.75" customHeight="1">
      <c r="A91" s="259"/>
      <c r="B91" s="260"/>
      <c r="C91" s="261"/>
      <c r="D91" s="261"/>
      <c r="E91" s="262"/>
      <c r="F91" s="215"/>
      <c r="G91" s="215"/>
      <c r="H91" s="215"/>
      <c r="I91" s="214"/>
      <c r="J91" s="214"/>
    </row>
    <row r="92" ht="15.75" customHeight="1">
      <c r="A92" s="259"/>
      <c r="B92" s="260"/>
      <c r="C92" s="261"/>
      <c r="D92" s="261"/>
      <c r="E92" s="262"/>
      <c r="F92" s="215"/>
      <c r="G92" s="215"/>
      <c r="H92" s="215"/>
      <c r="I92" s="214"/>
      <c r="J92" s="214"/>
    </row>
    <row r="93" ht="15.75" customHeight="1">
      <c r="A93" s="259"/>
      <c r="B93" s="260"/>
      <c r="C93" s="261"/>
      <c r="D93" s="261"/>
      <c r="E93" s="262"/>
      <c r="F93" s="215"/>
      <c r="G93" s="215"/>
      <c r="H93" s="215"/>
      <c r="I93" s="214"/>
      <c r="J93" s="214"/>
    </row>
    <row r="94" ht="15.75" customHeight="1">
      <c r="A94" s="259"/>
      <c r="B94" s="260"/>
      <c r="C94" s="261"/>
      <c r="D94" s="261"/>
      <c r="E94" s="262"/>
      <c r="F94" s="215"/>
      <c r="G94" s="215"/>
      <c r="H94" s="215"/>
      <c r="I94" s="214"/>
      <c r="J94" s="214"/>
    </row>
    <row r="95" ht="15.75" customHeight="1">
      <c r="A95" s="259"/>
      <c r="B95" s="260"/>
      <c r="C95" s="261"/>
      <c r="D95" s="261"/>
      <c r="E95" s="262"/>
      <c r="F95" s="215"/>
      <c r="G95" s="215"/>
      <c r="H95" s="215"/>
      <c r="I95" s="214"/>
      <c r="J95" s="214"/>
    </row>
    <row r="96" ht="15.75" customHeight="1">
      <c r="A96" s="259"/>
      <c r="B96" s="260"/>
      <c r="C96" s="261"/>
      <c r="D96" s="261"/>
      <c r="E96" s="262"/>
      <c r="F96" s="215"/>
      <c r="G96" s="215"/>
      <c r="H96" s="215"/>
      <c r="I96" s="214"/>
      <c r="J96" s="214"/>
    </row>
    <row r="97" ht="15.75" customHeight="1">
      <c r="A97" s="259"/>
      <c r="B97" s="260"/>
      <c r="C97" s="261"/>
      <c r="D97" s="261"/>
      <c r="E97" s="262"/>
      <c r="F97" s="215"/>
      <c r="G97" s="215"/>
      <c r="H97" s="215"/>
      <c r="I97" s="214"/>
      <c r="J97" s="214"/>
    </row>
    <row r="98" ht="15.75" customHeight="1">
      <c r="A98" s="259"/>
      <c r="B98" s="260"/>
      <c r="C98" s="261"/>
      <c r="D98" s="261"/>
      <c r="E98" s="262"/>
      <c r="F98" s="215"/>
      <c r="G98" s="215"/>
      <c r="H98" s="215"/>
      <c r="I98" s="214"/>
      <c r="J98" s="214"/>
    </row>
    <row r="99" ht="15.75" customHeight="1">
      <c r="A99" s="259"/>
      <c r="B99" s="260"/>
      <c r="C99" s="261"/>
      <c r="D99" s="261"/>
      <c r="E99" s="262"/>
      <c r="F99" s="215"/>
      <c r="G99" s="215"/>
      <c r="H99" s="215"/>
      <c r="I99" s="214"/>
      <c r="J99" s="214"/>
    </row>
    <row r="100" ht="15.75" customHeight="1">
      <c r="A100" s="259"/>
      <c r="B100" s="260"/>
      <c r="C100" s="261"/>
      <c r="D100" s="261"/>
      <c r="E100" s="262"/>
      <c r="F100" s="215"/>
      <c r="G100" s="215"/>
      <c r="H100" s="215"/>
      <c r="I100" s="214"/>
      <c r="J100" s="214"/>
    </row>
    <row r="101" ht="15.75" customHeight="1">
      <c r="A101" s="259"/>
      <c r="B101" s="260"/>
      <c r="C101" s="261"/>
      <c r="D101" s="261"/>
      <c r="E101" s="262"/>
      <c r="F101" s="215"/>
      <c r="G101" s="215"/>
      <c r="H101" s="215"/>
      <c r="I101" s="214"/>
      <c r="J101" s="214"/>
    </row>
    <row r="102" ht="15.75" customHeight="1">
      <c r="A102" s="259"/>
      <c r="B102" s="260"/>
      <c r="C102" s="261"/>
      <c r="D102" s="261"/>
      <c r="E102" s="262"/>
      <c r="F102" s="215"/>
      <c r="G102" s="215"/>
      <c r="H102" s="215"/>
      <c r="I102" s="214"/>
      <c r="J102" s="214"/>
    </row>
    <row r="103" ht="15.75" customHeight="1">
      <c r="A103" s="259"/>
      <c r="B103" s="260"/>
      <c r="C103" s="261"/>
      <c r="D103" s="261"/>
      <c r="E103" s="262"/>
      <c r="F103" s="215"/>
      <c r="G103" s="215"/>
      <c r="H103" s="215"/>
      <c r="I103" s="214"/>
      <c r="J103" s="214"/>
    </row>
    <row r="104" ht="15.75" customHeight="1">
      <c r="A104" s="259"/>
      <c r="B104" s="260"/>
      <c r="C104" s="261"/>
      <c r="D104" s="261"/>
      <c r="E104" s="262"/>
      <c r="F104" s="215"/>
      <c r="G104" s="215"/>
      <c r="H104" s="215"/>
      <c r="I104" s="214"/>
      <c r="J104" s="214"/>
    </row>
    <row r="105" ht="15.75" customHeight="1">
      <c r="A105" s="259"/>
      <c r="B105" s="260"/>
      <c r="C105" s="261"/>
      <c r="D105" s="261"/>
      <c r="E105" s="262"/>
      <c r="F105" s="215"/>
      <c r="G105" s="215"/>
      <c r="H105" s="215"/>
      <c r="I105" s="214"/>
      <c r="J105" s="214"/>
    </row>
    <row r="106" ht="15.75" customHeight="1">
      <c r="A106" s="259"/>
      <c r="B106" s="260"/>
      <c r="C106" s="261"/>
      <c r="D106" s="261"/>
      <c r="E106" s="262"/>
      <c r="F106" s="215"/>
      <c r="G106" s="215"/>
      <c r="H106" s="215"/>
      <c r="I106" s="214"/>
      <c r="J106" s="214"/>
    </row>
    <row r="107" ht="15.75" customHeight="1">
      <c r="A107" s="259"/>
      <c r="B107" s="260"/>
      <c r="C107" s="261"/>
      <c r="D107" s="261"/>
      <c r="E107" s="262"/>
      <c r="F107" s="215"/>
      <c r="G107" s="215"/>
      <c r="H107" s="215"/>
      <c r="I107" s="214"/>
      <c r="J107" s="214"/>
    </row>
    <row r="108" ht="15.75" customHeight="1">
      <c r="A108" s="259"/>
      <c r="B108" s="260"/>
      <c r="C108" s="261"/>
      <c r="D108" s="261"/>
      <c r="E108" s="262"/>
      <c r="F108" s="215"/>
      <c r="G108" s="215"/>
      <c r="H108" s="215"/>
      <c r="I108" s="214"/>
      <c r="J108" s="214"/>
    </row>
    <row r="109" ht="15.75" customHeight="1">
      <c r="A109" s="259"/>
      <c r="B109" s="260"/>
      <c r="C109" s="261"/>
      <c r="D109" s="261"/>
      <c r="E109" s="262"/>
      <c r="F109" s="215"/>
      <c r="G109" s="215"/>
      <c r="H109" s="215"/>
      <c r="I109" s="214"/>
      <c r="J109" s="214"/>
    </row>
    <row r="110" ht="15.75" customHeight="1">
      <c r="A110" s="259"/>
      <c r="B110" s="260"/>
      <c r="C110" s="261"/>
      <c r="D110" s="261"/>
      <c r="E110" s="262"/>
      <c r="F110" s="215"/>
      <c r="G110" s="215"/>
      <c r="H110" s="215"/>
      <c r="I110" s="214"/>
      <c r="J110" s="214"/>
    </row>
    <row r="111" ht="15.75" customHeight="1">
      <c r="A111" s="259"/>
      <c r="B111" s="260"/>
      <c r="C111" s="261"/>
      <c r="D111" s="261"/>
      <c r="E111" s="262"/>
      <c r="F111" s="215"/>
      <c r="G111" s="215"/>
      <c r="H111" s="215"/>
      <c r="I111" s="214"/>
      <c r="J111" s="214"/>
    </row>
    <row r="112" ht="15.75" customHeight="1">
      <c r="A112" s="259"/>
      <c r="B112" s="260"/>
      <c r="C112" s="261"/>
      <c r="D112" s="261"/>
      <c r="E112" s="262"/>
      <c r="F112" s="215"/>
      <c r="G112" s="215"/>
      <c r="H112" s="215"/>
      <c r="I112" s="214"/>
      <c r="J112" s="214"/>
    </row>
    <row r="113" ht="15.75" customHeight="1">
      <c r="A113" s="259"/>
      <c r="B113" s="260"/>
      <c r="C113" s="261"/>
      <c r="D113" s="261"/>
      <c r="E113" s="262"/>
      <c r="F113" s="215"/>
      <c r="G113" s="215"/>
      <c r="H113" s="215"/>
      <c r="I113" s="214"/>
      <c r="J113" s="214"/>
    </row>
    <row r="114" ht="15.75" customHeight="1">
      <c r="A114" s="259"/>
      <c r="B114" s="260"/>
      <c r="C114" s="261"/>
      <c r="D114" s="261"/>
      <c r="E114" s="262"/>
      <c r="F114" s="215"/>
      <c r="G114" s="215"/>
      <c r="H114" s="215"/>
      <c r="I114" s="214"/>
      <c r="J114" s="214"/>
    </row>
    <row r="115" ht="15.75" customHeight="1">
      <c r="A115" s="259"/>
      <c r="B115" s="260"/>
      <c r="C115" s="261"/>
      <c r="D115" s="261"/>
      <c r="E115" s="262"/>
      <c r="F115" s="215"/>
      <c r="G115" s="215"/>
      <c r="H115" s="215"/>
      <c r="I115" s="214"/>
      <c r="J115" s="214"/>
    </row>
    <row r="116" ht="15.75" customHeight="1">
      <c r="A116" s="259"/>
      <c r="B116" s="260"/>
      <c r="C116" s="261"/>
      <c r="D116" s="261"/>
      <c r="E116" s="262"/>
      <c r="F116" s="215"/>
      <c r="G116" s="215"/>
      <c r="H116" s="215"/>
      <c r="I116" s="214"/>
      <c r="J116" s="214"/>
    </row>
    <row r="117" ht="15.75" customHeight="1">
      <c r="A117" s="259"/>
      <c r="B117" s="260"/>
      <c r="C117" s="261"/>
      <c r="D117" s="261"/>
      <c r="E117" s="262"/>
      <c r="F117" s="215"/>
      <c r="G117" s="215"/>
      <c r="H117" s="215"/>
      <c r="I117" s="214"/>
      <c r="J117" s="214"/>
    </row>
    <row r="118" ht="15.75" customHeight="1">
      <c r="A118" s="259"/>
      <c r="B118" s="260"/>
      <c r="C118" s="261"/>
      <c r="D118" s="261"/>
      <c r="E118" s="262"/>
      <c r="F118" s="215"/>
      <c r="G118" s="215"/>
      <c r="H118" s="215"/>
      <c r="I118" s="214"/>
      <c r="J118" s="214"/>
    </row>
    <row r="119" ht="15.75" customHeight="1">
      <c r="A119" s="259"/>
      <c r="B119" s="260"/>
      <c r="C119" s="261"/>
      <c r="D119" s="261"/>
      <c r="E119" s="262"/>
      <c r="F119" s="215"/>
      <c r="G119" s="215"/>
      <c r="H119" s="215"/>
      <c r="I119" s="214"/>
      <c r="J119" s="214"/>
    </row>
    <row r="120" ht="15.75" customHeight="1">
      <c r="A120" s="259"/>
      <c r="B120" s="260"/>
      <c r="C120" s="261"/>
      <c r="D120" s="261"/>
      <c r="E120" s="262"/>
      <c r="F120" s="215"/>
      <c r="G120" s="215"/>
      <c r="H120" s="215"/>
      <c r="I120" s="214"/>
      <c r="J120" s="214"/>
    </row>
    <row r="121" ht="15.75" customHeight="1">
      <c r="A121" s="259"/>
      <c r="B121" s="260"/>
      <c r="C121" s="261"/>
      <c r="D121" s="261"/>
      <c r="E121" s="262"/>
      <c r="F121" s="215"/>
      <c r="G121" s="215"/>
      <c r="H121" s="215"/>
      <c r="I121" s="214"/>
      <c r="J121" s="214"/>
    </row>
    <row r="122" ht="15.75" customHeight="1">
      <c r="A122" s="259"/>
      <c r="B122" s="260"/>
      <c r="C122" s="261"/>
      <c r="D122" s="261"/>
      <c r="E122" s="262"/>
      <c r="F122" s="215"/>
      <c r="G122" s="215"/>
      <c r="H122" s="215"/>
      <c r="I122" s="214"/>
      <c r="J122" s="214"/>
    </row>
    <row r="123" ht="15.75" customHeight="1">
      <c r="A123" s="259"/>
      <c r="B123" s="260"/>
      <c r="C123" s="261"/>
      <c r="D123" s="261"/>
      <c r="E123" s="262"/>
      <c r="F123" s="215"/>
      <c r="G123" s="215"/>
      <c r="H123" s="215"/>
      <c r="I123" s="214"/>
      <c r="J123" s="214"/>
    </row>
    <row r="124" ht="15.75" customHeight="1">
      <c r="A124" s="259"/>
      <c r="B124" s="260"/>
      <c r="C124" s="261"/>
      <c r="D124" s="261"/>
      <c r="E124" s="262"/>
      <c r="F124" s="215"/>
      <c r="G124" s="215"/>
      <c r="H124" s="215"/>
      <c r="I124" s="214"/>
      <c r="J124" s="214"/>
    </row>
    <row r="125" ht="15.75" customHeight="1">
      <c r="A125" s="259"/>
      <c r="B125" s="260"/>
      <c r="C125" s="261"/>
      <c r="D125" s="261"/>
      <c r="E125" s="262"/>
      <c r="F125" s="215"/>
      <c r="G125" s="215"/>
      <c r="H125" s="215"/>
      <c r="I125" s="214"/>
      <c r="J125" s="214"/>
    </row>
    <row r="126" ht="15.75" customHeight="1">
      <c r="A126" s="259"/>
      <c r="B126" s="260"/>
      <c r="C126" s="261"/>
      <c r="D126" s="261"/>
      <c r="E126" s="262"/>
      <c r="F126" s="215"/>
      <c r="G126" s="215"/>
      <c r="H126" s="215"/>
      <c r="I126" s="214"/>
      <c r="J126" s="214"/>
    </row>
    <row r="127" ht="15.75" customHeight="1">
      <c r="A127" s="259"/>
      <c r="B127" s="260"/>
      <c r="C127" s="261"/>
      <c r="D127" s="261"/>
      <c r="E127" s="262"/>
      <c r="F127" s="215"/>
      <c r="G127" s="215"/>
      <c r="H127" s="215"/>
      <c r="I127" s="214"/>
      <c r="J127" s="214"/>
    </row>
    <row r="128" ht="15.75" customHeight="1">
      <c r="A128" s="259"/>
      <c r="B128" s="260"/>
      <c r="C128" s="261"/>
      <c r="D128" s="261"/>
      <c r="E128" s="262"/>
      <c r="F128" s="215"/>
      <c r="G128" s="215"/>
      <c r="H128" s="215"/>
      <c r="I128" s="214"/>
      <c r="J128" s="214"/>
    </row>
    <row r="129" ht="15.75" customHeight="1">
      <c r="A129" s="259"/>
      <c r="B129" s="260"/>
      <c r="C129" s="261"/>
      <c r="D129" s="261"/>
      <c r="E129" s="262"/>
      <c r="F129" s="215"/>
      <c r="G129" s="215"/>
      <c r="H129" s="215"/>
      <c r="I129" s="214"/>
      <c r="J129" s="214"/>
    </row>
    <row r="130" ht="15.75" customHeight="1">
      <c r="A130" s="259"/>
      <c r="B130" s="260"/>
      <c r="C130" s="261"/>
      <c r="D130" s="261"/>
      <c r="E130" s="262"/>
      <c r="F130" s="215"/>
      <c r="G130" s="215"/>
      <c r="H130" s="215"/>
      <c r="I130" s="214"/>
      <c r="J130" s="214"/>
    </row>
    <row r="131" ht="15.75" customHeight="1">
      <c r="A131" s="259"/>
      <c r="B131" s="260"/>
      <c r="C131" s="261"/>
      <c r="D131" s="261"/>
      <c r="E131" s="262"/>
      <c r="F131" s="215"/>
      <c r="G131" s="215"/>
      <c r="H131" s="215"/>
      <c r="I131" s="214"/>
      <c r="J131" s="214"/>
    </row>
    <row r="132" ht="15.75" customHeight="1">
      <c r="A132" s="259"/>
      <c r="B132" s="260"/>
      <c r="C132" s="261"/>
      <c r="D132" s="261"/>
      <c r="E132" s="262"/>
      <c r="F132" s="215"/>
      <c r="G132" s="215"/>
      <c r="H132" s="215"/>
      <c r="I132" s="214"/>
      <c r="J132" s="214"/>
    </row>
    <row r="133" ht="15.75" customHeight="1">
      <c r="A133" s="259"/>
      <c r="B133" s="260"/>
      <c r="C133" s="261"/>
      <c r="D133" s="261"/>
      <c r="E133" s="262"/>
      <c r="F133" s="215"/>
      <c r="G133" s="215"/>
      <c r="H133" s="215"/>
      <c r="I133" s="214"/>
      <c r="J133" s="214"/>
    </row>
    <row r="134" ht="15.75" customHeight="1">
      <c r="A134" s="259"/>
      <c r="B134" s="260"/>
      <c r="C134" s="261"/>
      <c r="D134" s="261"/>
      <c r="E134" s="262"/>
      <c r="F134" s="215"/>
      <c r="G134" s="215"/>
      <c r="H134" s="215"/>
      <c r="I134" s="214"/>
      <c r="J134" s="214"/>
    </row>
    <row r="135" ht="15.75" customHeight="1">
      <c r="A135" s="259"/>
      <c r="B135" s="260"/>
      <c r="C135" s="261"/>
      <c r="D135" s="261"/>
      <c r="E135" s="262"/>
      <c r="F135" s="215"/>
      <c r="G135" s="215"/>
      <c r="H135" s="215"/>
      <c r="I135" s="214"/>
      <c r="J135" s="214"/>
    </row>
    <row r="136" ht="15.75" customHeight="1">
      <c r="A136" s="259"/>
      <c r="B136" s="260"/>
      <c r="C136" s="261"/>
      <c r="D136" s="261"/>
      <c r="E136" s="262"/>
      <c r="F136" s="215"/>
      <c r="G136" s="215"/>
      <c r="H136" s="215"/>
      <c r="I136" s="214"/>
      <c r="J136" s="214"/>
    </row>
    <row r="137" ht="15.75" customHeight="1">
      <c r="A137" s="259"/>
      <c r="B137" s="260"/>
      <c r="C137" s="261"/>
      <c r="D137" s="261"/>
      <c r="E137" s="262"/>
      <c r="F137" s="215"/>
      <c r="G137" s="215"/>
      <c r="H137" s="215"/>
      <c r="I137" s="214"/>
      <c r="J137" s="214"/>
    </row>
    <row r="138" ht="15.75" customHeight="1">
      <c r="A138" s="259"/>
      <c r="B138" s="260"/>
      <c r="C138" s="261"/>
      <c r="D138" s="261"/>
      <c r="E138" s="262"/>
      <c r="F138" s="215"/>
      <c r="G138" s="215"/>
      <c r="H138" s="215"/>
      <c r="I138" s="214"/>
      <c r="J138" s="214"/>
    </row>
    <row r="139" ht="15.75" customHeight="1">
      <c r="A139" s="259"/>
      <c r="B139" s="260"/>
      <c r="C139" s="261"/>
      <c r="D139" s="261"/>
      <c r="E139" s="262"/>
      <c r="F139" s="215"/>
      <c r="G139" s="215"/>
      <c r="H139" s="215"/>
      <c r="I139" s="214"/>
      <c r="J139" s="214"/>
    </row>
    <row r="140" ht="15.75" customHeight="1">
      <c r="A140" s="259"/>
      <c r="B140" s="260"/>
      <c r="C140" s="261"/>
      <c r="D140" s="261"/>
      <c r="E140" s="262"/>
      <c r="F140" s="215"/>
      <c r="G140" s="215"/>
      <c r="H140" s="215"/>
      <c r="I140" s="214"/>
      <c r="J140" s="214"/>
    </row>
    <row r="141" ht="15.75" customHeight="1">
      <c r="A141" s="259"/>
      <c r="B141" s="260"/>
      <c r="C141" s="261"/>
      <c r="D141" s="261"/>
      <c r="E141" s="262"/>
      <c r="F141" s="215"/>
      <c r="G141" s="215"/>
      <c r="H141" s="215"/>
      <c r="I141" s="214"/>
      <c r="J141" s="214"/>
    </row>
    <row r="142" ht="15.75" customHeight="1">
      <c r="A142" s="259"/>
      <c r="B142" s="260"/>
      <c r="C142" s="261"/>
      <c r="D142" s="261"/>
      <c r="E142" s="262"/>
      <c r="F142" s="215"/>
      <c r="G142" s="215"/>
      <c r="H142" s="215"/>
      <c r="I142" s="214"/>
      <c r="J142" s="214"/>
    </row>
    <row r="143" ht="15.75" customHeight="1">
      <c r="A143" s="259"/>
      <c r="B143" s="260"/>
      <c r="C143" s="261"/>
      <c r="D143" s="261"/>
      <c r="E143" s="262"/>
      <c r="F143" s="215"/>
      <c r="G143" s="215"/>
      <c r="H143" s="215"/>
      <c r="I143" s="214"/>
      <c r="J143" s="214"/>
    </row>
    <row r="144" ht="15.75" customHeight="1">
      <c r="A144" s="259"/>
      <c r="B144" s="260"/>
      <c r="C144" s="261"/>
      <c r="D144" s="261"/>
      <c r="E144" s="262"/>
      <c r="F144" s="215"/>
      <c r="G144" s="215"/>
      <c r="H144" s="215"/>
      <c r="I144" s="214"/>
      <c r="J144" s="214"/>
    </row>
    <row r="145" ht="15.75" customHeight="1">
      <c r="A145" s="259"/>
      <c r="B145" s="260"/>
      <c r="C145" s="261"/>
      <c r="D145" s="261"/>
      <c r="E145" s="262"/>
      <c r="F145" s="215"/>
      <c r="G145" s="215"/>
      <c r="H145" s="215"/>
      <c r="I145" s="214"/>
      <c r="J145" s="214"/>
    </row>
    <row r="146" ht="15.75" customHeight="1">
      <c r="A146" s="259"/>
      <c r="B146" s="260"/>
      <c r="C146" s="261"/>
      <c r="D146" s="261"/>
      <c r="E146" s="262"/>
      <c r="F146" s="215"/>
      <c r="G146" s="215"/>
      <c r="H146" s="215"/>
      <c r="I146" s="214"/>
      <c r="J146" s="214"/>
    </row>
    <row r="147" ht="15.75" customHeight="1">
      <c r="A147" s="259"/>
      <c r="B147" s="260"/>
      <c r="C147" s="261"/>
      <c r="D147" s="261"/>
      <c r="E147" s="262"/>
      <c r="F147" s="215"/>
      <c r="G147" s="215"/>
      <c r="H147" s="215"/>
      <c r="I147" s="214"/>
      <c r="J147" s="214"/>
    </row>
    <row r="148" ht="15.75" customHeight="1">
      <c r="A148" s="259"/>
      <c r="B148" s="260"/>
      <c r="C148" s="261"/>
      <c r="D148" s="261"/>
      <c r="E148" s="262"/>
      <c r="F148" s="215"/>
      <c r="G148" s="215"/>
      <c r="H148" s="215"/>
      <c r="I148" s="214"/>
      <c r="J148" s="214"/>
    </row>
    <row r="149" ht="15.75" customHeight="1">
      <c r="A149" s="259"/>
      <c r="B149" s="260"/>
      <c r="C149" s="261"/>
      <c r="D149" s="261"/>
      <c r="E149" s="262"/>
      <c r="F149" s="215"/>
      <c r="G149" s="215"/>
      <c r="H149" s="215"/>
      <c r="I149" s="214"/>
      <c r="J149" s="214"/>
    </row>
    <row r="150" ht="15.75" customHeight="1">
      <c r="A150" s="259"/>
      <c r="B150" s="260"/>
      <c r="C150" s="261"/>
      <c r="D150" s="261"/>
      <c r="E150" s="262"/>
      <c r="F150" s="215"/>
      <c r="G150" s="215"/>
      <c r="H150" s="215"/>
      <c r="I150" s="214"/>
      <c r="J150" s="214"/>
    </row>
    <row r="151" ht="15.75" customHeight="1">
      <c r="A151" s="259"/>
      <c r="B151" s="260"/>
      <c r="C151" s="261"/>
      <c r="D151" s="261"/>
      <c r="E151" s="262"/>
      <c r="F151" s="215"/>
      <c r="G151" s="215"/>
      <c r="H151" s="215"/>
      <c r="I151" s="214"/>
      <c r="J151" s="214"/>
    </row>
    <row r="152" ht="15.75" customHeight="1">
      <c r="A152" s="259"/>
      <c r="B152" s="260"/>
      <c r="C152" s="261"/>
      <c r="D152" s="261"/>
      <c r="E152" s="262"/>
      <c r="F152" s="215"/>
      <c r="G152" s="215"/>
      <c r="H152" s="215"/>
      <c r="I152" s="214"/>
      <c r="J152" s="214"/>
    </row>
    <row r="153" ht="15.75" customHeight="1">
      <c r="A153" s="259"/>
      <c r="B153" s="260"/>
      <c r="C153" s="261"/>
      <c r="D153" s="261"/>
      <c r="E153" s="262"/>
      <c r="F153" s="215"/>
      <c r="G153" s="215"/>
      <c r="H153" s="215"/>
      <c r="I153" s="214"/>
      <c r="J153" s="214"/>
    </row>
    <row r="154" ht="15.75" customHeight="1">
      <c r="A154" s="259"/>
      <c r="B154" s="260"/>
      <c r="C154" s="261"/>
      <c r="D154" s="261"/>
      <c r="E154" s="262"/>
      <c r="F154" s="215"/>
      <c r="G154" s="215"/>
      <c r="H154" s="215"/>
      <c r="I154" s="214"/>
      <c r="J154" s="214"/>
    </row>
    <row r="155" ht="15.75" customHeight="1">
      <c r="A155" s="259"/>
      <c r="B155" s="260"/>
      <c r="C155" s="261"/>
      <c r="D155" s="261"/>
      <c r="E155" s="262"/>
      <c r="F155" s="215"/>
      <c r="G155" s="215"/>
      <c r="H155" s="215"/>
      <c r="I155" s="214"/>
      <c r="J155" s="214"/>
    </row>
    <row r="156" ht="15.75" customHeight="1">
      <c r="A156" s="259"/>
      <c r="B156" s="260"/>
      <c r="C156" s="261"/>
      <c r="D156" s="261"/>
      <c r="E156" s="262"/>
      <c r="F156" s="215"/>
      <c r="G156" s="215"/>
      <c r="H156" s="215"/>
      <c r="I156" s="214"/>
      <c r="J156" s="214"/>
    </row>
    <row r="157" ht="15.75" customHeight="1">
      <c r="A157" s="259"/>
      <c r="B157" s="260"/>
      <c r="C157" s="261"/>
      <c r="D157" s="261"/>
      <c r="E157" s="262"/>
      <c r="F157" s="215"/>
      <c r="G157" s="215"/>
      <c r="H157" s="215"/>
      <c r="I157" s="214"/>
      <c r="J157" s="214"/>
    </row>
    <row r="158" ht="15.75" customHeight="1">
      <c r="A158" s="259"/>
      <c r="B158" s="260"/>
      <c r="C158" s="261"/>
      <c r="D158" s="261"/>
      <c r="E158" s="262"/>
      <c r="F158" s="215"/>
      <c r="G158" s="215"/>
      <c r="H158" s="215"/>
      <c r="I158" s="214"/>
      <c r="J158" s="214"/>
    </row>
    <row r="159" ht="15.75" customHeight="1">
      <c r="A159" s="259"/>
      <c r="B159" s="260"/>
      <c r="C159" s="261"/>
      <c r="D159" s="261"/>
      <c r="E159" s="262"/>
      <c r="F159" s="215"/>
      <c r="G159" s="215"/>
      <c r="H159" s="215"/>
      <c r="I159" s="214"/>
      <c r="J159" s="214"/>
    </row>
    <row r="160" ht="15.75" customHeight="1">
      <c r="A160" s="259"/>
      <c r="B160" s="260"/>
      <c r="C160" s="261"/>
      <c r="D160" s="261"/>
      <c r="E160" s="262"/>
      <c r="F160" s="215"/>
      <c r="G160" s="215"/>
      <c r="H160" s="215"/>
      <c r="I160" s="214"/>
      <c r="J160" s="214"/>
    </row>
    <row r="161" ht="15.75" customHeight="1">
      <c r="A161" s="259"/>
      <c r="B161" s="260"/>
      <c r="C161" s="261"/>
      <c r="D161" s="261"/>
      <c r="E161" s="262"/>
      <c r="F161" s="215"/>
      <c r="G161" s="215"/>
      <c r="H161" s="215"/>
      <c r="I161" s="214"/>
      <c r="J161" s="214"/>
    </row>
    <row r="162" ht="15.75" customHeight="1">
      <c r="A162" s="259"/>
      <c r="B162" s="260"/>
      <c r="C162" s="261"/>
      <c r="D162" s="261"/>
      <c r="E162" s="262"/>
      <c r="F162" s="215"/>
      <c r="G162" s="215"/>
      <c r="H162" s="215"/>
      <c r="I162" s="214"/>
      <c r="J162" s="214"/>
    </row>
    <row r="163" ht="15.75" customHeight="1">
      <c r="A163" s="259"/>
      <c r="B163" s="260"/>
      <c r="C163" s="261"/>
      <c r="D163" s="261"/>
      <c r="E163" s="262"/>
      <c r="F163" s="215"/>
      <c r="G163" s="215"/>
      <c r="H163" s="215"/>
      <c r="I163" s="214"/>
      <c r="J163" s="214"/>
    </row>
    <row r="164" ht="15.75" customHeight="1">
      <c r="A164" s="259"/>
      <c r="B164" s="260"/>
      <c r="C164" s="261"/>
      <c r="D164" s="261"/>
      <c r="E164" s="262"/>
      <c r="F164" s="215"/>
      <c r="G164" s="215"/>
      <c r="H164" s="215"/>
      <c r="I164" s="214"/>
      <c r="J164" s="214"/>
    </row>
    <row r="165" ht="15.75" customHeight="1">
      <c r="A165" s="259"/>
      <c r="B165" s="260"/>
      <c r="C165" s="261"/>
      <c r="D165" s="261"/>
      <c r="E165" s="262"/>
      <c r="F165" s="215"/>
      <c r="G165" s="215"/>
      <c r="H165" s="215"/>
      <c r="I165" s="214"/>
      <c r="J165" s="214"/>
    </row>
    <row r="166" ht="15.75" customHeight="1">
      <c r="A166" s="259"/>
      <c r="B166" s="260"/>
      <c r="C166" s="261"/>
      <c r="D166" s="261"/>
      <c r="E166" s="262"/>
      <c r="F166" s="215"/>
      <c r="G166" s="215"/>
      <c r="H166" s="215"/>
      <c r="I166" s="214"/>
      <c r="J166" s="214"/>
    </row>
    <row r="167" ht="15.75" customHeight="1">
      <c r="A167" s="259"/>
      <c r="B167" s="260"/>
      <c r="C167" s="261"/>
      <c r="D167" s="261"/>
      <c r="E167" s="262"/>
      <c r="F167" s="215"/>
      <c r="G167" s="215"/>
      <c r="H167" s="215"/>
      <c r="I167" s="214"/>
      <c r="J167" s="214"/>
    </row>
    <row r="168" ht="15.75" customHeight="1">
      <c r="A168" s="259"/>
      <c r="B168" s="260"/>
      <c r="C168" s="261"/>
      <c r="D168" s="261"/>
      <c r="E168" s="262"/>
      <c r="F168" s="215"/>
      <c r="G168" s="215"/>
      <c r="H168" s="215"/>
      <c r="I168" s="214"/>
      <c r="J168" s="214"/>
    </row>
    <row r="169" ht="15.75" customHeight="1">
      <c r="A169" s="259"/>
      <c r="B169" s="260"/>
      <c r="C169" s="261"/>
      <c r="D169" s="261"/>
      <c r="E169" s="262"/>
      <c r="F169" s="215"/>
      <c r="G169" s="215"/>
      <c r="H169" s="215"/>
      <c r="I169" s="214"/>
      <c r="J169" s="214"/>
    </row>
    <row r="170" ht="15.75" customHeight="1">
      <c r="A170" s="259"/>
      <c r="B170" s="260"/>
      <c r="C170" s="261"/>
      <c r="D170" s="261"/>
      <c r="E170" s="262"/>
      <c r="F170" s="215"/>
      <c r="G170" s="215"/>
      <c r="H170" s="215"/>
      <c r="I170" s="214"/>
      <c r="J170" s="214"/>
    </row>
    <row r="171" ht="15.75" customHeight="1">
      <c r="A171" s="259"/>
      <c r="B171" s="260"/>
      <c r="C171" s="261"/>
      <c r="D171" s="261"/>
      <c r="E171" s="262"/>
      <c r="F171" s="215"/>
      <c r="G171" s="215"/>
      <c r="H171" s="215"/>
      <c r="I171" s="214"/>
      <c r="J171" s="214"/>
    </row>
    <row r="172" ht="15.75" customHeight="1">
      <c r="A172" s="259"/>
      <c r="B172" s="260"/>
      <c r="C172" s="261"/>
      <c r="D172" s="261"/>
      <c r="E172" s="262"/>
      <c r="F172" s="215"/>
      <c r="G172" s="215"/>
      <c r="H172" s="215"/>
      <c r="I172" s="214"/>
      <c r="J172" s="214"/>
    </row>
    <row r="173" ht="15.75" customHeight="1">
      <c r="A173" s="259"/>
      <c r="B173" s="260"/>
      <c r="C173" s="261"/>
      <c r="D173" s="261"/>
      <c r="E173" s="262"/>
      <c r="F173" s="215"/>
      <c r="G173" s="215"/>
      <c r="H173" s="215"/>
      <c r="I173" s="214"/>
      <c r="J173" s="214"/>
    </row>
    <row r="174" ht="15.75" customHeight="1">
      <c r="A174" s="259"/>
      <c r="B174" s="260"/>
      <c r="C174" s="261"/>
      <c r="D174" s="261"/>
      <c r="E174" s="262"/>
      <c r="F174" s="215"/>
      <c r="G174" s="215"/>
      <c r="H174" s="215"/>
      <c r="I174" s="214"/>
      <c r="J174" s="214"/>
    </row>
    <row r="175" ht="15.75" customHeight="1">
      <c r="A175" s="259"/>
      <c r="B175" s="260"/>
      <c r="C175" s="261"/>
      <c r="D175" s="261"/>
      <c r="E175" s="262"/>
      <c r="F175" s="215"/>
      <c r="G175" s="215"/>
      <c r="H175" s="215"/>
      <c r="I175" s="214"/>
      <c r="J175" s="214"/>
    </row>
    <row r="176" ht="15.75" customHeight="1">
      <c r="A176" s="259"/>
      <c r="B176" s="260"/>
      <c r="C176" s="261"/>
      <c r="D176" s="261"/>
      <c r="E176" s="262"/>
      <c r="F176" s="215"/>
      <c r="G176" s="215"/>
      <c r="H176" s="215"/>
      <c r="I176" s="214"/>
      <c r="J176" s="214"/>
    </row>
    <row r="177" ht="15.75" customHeight="1">
      <c r="A177" s="259"/>
      <c r="B177" s="260"/>
      <c r="C177" s="261"/>
      <c r="D177" s="261"/>
      <c r="E177" s="262"/>
      <c r="F177" s="215"/>
      <c r="G177" s="215"/>
      <c r="H177" s="215"/>
      <c r="I177" s="214"/>
      <c r="J177" s="214"/>
    </row>
    <row r="178" ht="15.75" customHeight="1">
      <c r="A178" s="259"/>
      <c r="B178" s="260"/>
      <c r="C178" s="261"/>
      <c r="D178" s="261"/>
      <c r="E178" s="262"/>
      <c r="F178" s="215"/>
      <c r="G178" s="215"/>
      <c r="H178" s="215"/>
      <c r="I178" s="214"/>
      <c r="J178" s="214"/>
    </row>
    <row r="179" ht="15.75" customHeight="1">
      <c r="A179" s="259"/>
      <c r="B179" s="260"/>
      <c r="C179" s="261"/>
      <c r="D179" s="261"/>
      <c r="E179" s="262"/>
      <c r="F179" s="215"/>
      <c r="G179" s="215"/>
      <c r="H179" s="215"/>
      <c r="I179" s="214"/>
      <c r="J179" s="214"/>
    </row>
    <row r="180" ht="15.75" customHeight="1">
      <c r="A180" s="259"/>
      <c r="B180" s="260"/>
      <c r="C180" s="261"/>
      <c r="D180" s="261"/>
      <c r="E180" s="262"/>
      <c r="F180" s="215"/>
      <c r="G180" s="215"/>
      <c r="H180" s="215"/>
      <c r="I180" s="214"/>
      <c r="J180" s="214"/>
    </row>
    <row r="181" ht="15.75" customHeight="1">
      <c r="A181" s="259"/>
      <c r="B181" s="260"/>
      <c r="C181" s="261"/>
      <c r="D181" s="261"/>
      <c r="E181" s="262"/>
      <c r="F181" s="215"/>
      <c r="G181" s="215"/>
      <c r="H181" s="215"/>
      <c r="I181" s="214"/>
      <c r="J181" s="214"/>
    </row>
    <row r="182" ht="15.75" customHeight="1">
      <c r="A182" s="259"/>
      <c r="B182" s="260"/>
      <c r="C182" s="261"/>
      <c r="D182" s="261"/>
      <c r="E182" s="262"/>
      <c r="F182" s="215"/>
      <c r="G182" s="215"/>
      <c r="H182" s="215"/>
      <c r="I182" s="214"/>
      <c r="J182" s="214"/>
    </row>
    <row r="183" ht="15.75" customHeight="1">
      <c r="A183" s="259"/>
      <c r="B183" s="260"/>
      <c r="C183" s="261"/>
      <c r="D183" s="261"/>
      <c r="E183" s="262"/>
      <c r="F183" s="215"/>
      <c r="G183" s="215"/>
      <c r="H183" s="215"/>
      <c r="I183" s="214"/>
      <c r="J183" s="214"/>
    </row>
    <row r="184" ht="15.75" customHeight="1">
      <c r="A184" s="259"/>
      <c r="B184" s="260"/>
      <c r="C184" s="261"/>
      <c r="D184" s="261"/>
      <c r="E184" s="262"/>
      <c r="F184" s="215"/>
      <c r="G184" s="215"/>
      <c r="H184" s="215"/>
      <c r="I184" s="214"/>
      <c r="J184" s="214"/>
    </row>
    <row r="185" ht="15.75" customHeight="1">
      <c r="A185" s="259"/>
      <c r="B185" s="260"/>
      <c r="C185" s="261"/>
      <c r="D185" s="261"/>
      <c r="E185" s="262"/>
      <c r="F185" s="215"/>
      <c r="G185" s="215"/>
      <c r="H185" s="215"/>
      <c r="I185" s="214"/>
      <c r="J185" s="214"/>
    </row>
    <row r="186" ht="15.75" customHeight="1">
      <c r="A186" s="259"/>
      <c r="B186" s="260"/>
      <c r="C186" s="261"/>
      <c r="D186" s="261"/>
      <c r="E186" s="262"/>
      <c r="F186" s="215"/>
      <c r="G186" s="215"/>
      <c r="H186" s="215"/>
      <c r="I186" s="214"/>
      <c r="J186" s="214"/>
    </row>
    <row r="187" ht="15.75" customHeight="1">
      <c r="A187" s="259"/>
      <c r="B187" s="260"/>
      <c r="C187" s="261"/>
      <c r="D187" s="261"/>
      <c r="E187" s="262"/>
      <c r="F187" s="215"/>
      <c r="G187" s="215"/>
      <c r="H187" s="215"/>
      <c r="I187" s="214"/>
      <c r="J187" s="214"/>
    </row>
    <row r="188" ht="15.75" customHeight="1">
      <c r="A188" s="259"/>
      <c r="B188" s="260"/>
      <c r="C188" s="261"/>
      <c r="D188" s="261"/>
      <c r="E188" s="262"/>
      <c r="F188" s="215"/>
      <c r="G188" s="215"/>
      <c r="H188" s="215"/>
      <c r="I188" s="214"/>
      <c r="J188" s="214"/>
    </row>
    <row r="189" ht="15.75" customHeight="1">
      <c r="A189" s="259"/>
      <c r="B189" s="260"/>
      <c r="C189" s="261"/>
      <c r="D189" s="261"/>
      <c r="E189" s="262"/>
      <c r="F189" s="215"/>
      <c r="G189" s="215"/>
      <c r="H189" s="215"/>
      <c r="I189" s="214"/>
      <c r="J189" s="214"/>
    </row>
    <row r="190" ht="15.75" customHeight="1">
      <c r="A190" s="259"/>
      <c r="B190" s="260"/>
      <c r="C190" s="261"/>
      <c r="D190" s="261"/>
      <c r="E190" s="262"/>
      <c r="F190" s="215"/>
      <c r="G190" s="215"/>
      <c r="H190" s="215"/>
      <c r="I190" s="214"/>
      <c r="J190" s="214"/>
    </row>
    <row r="191" ht="15.75" customHeight="1">
      <c r="A191" s="259"/>
      <c r="B191" s="260"/>
      <c r="C191" s="261"/>
      <c r="D191" s="261"/>
      <c r="E191" s="262"/>
      <c r="F191" s="215"/>
      <c r="G191" s="215"/>
      <c r="H191" s="215"/>
      <c r="I191" s="214"/>
      <c r="J191" s="214"/>
    </row>
    <row r="192" ht="15.75" customHeight="1">
      <c r="A192" s="259"/>
      <c r="B192" s="260"/>
      <c r="C192" s="261"/>
      <c r="D192" s="261"/>
      <c r="E192" s="262"/>
      <c r="F192" s="215"/>
      <c r="G192" s="215"/>
      <c r="H192" s="215"/>
      <c r="I192" s="214"/>
      <c r="J192" s="214"/>
    </row>
    <row r="193" ht="15.75" customHeight="1">
      <c r="A193" s="259"/>
      <c r="B193" s="260"/>
      <c r="C193" s="261"/>
      <c r="D193" s="261"/>
      <c r="E193" s="262"/>
      <c r="F193" s="215"/>
      <c r="G193" s="215"/>
      <c r="H193" s="215"/>
      <c r="I193" s="214"/>
      <c r="J193" s="214"/>
    </row>
    <row r="194" ht="15.75" customHeight="1">
      <c r="A194" s="259"/>
      <c r="B194" s="260"/>
      <c r="C194" s="261"/>
      <c r="D194" s="261"/>
      <c r="E194" s="262"/>
      <c r="F194" s="215"/>
      <c r="G194" s="215"/>
      <c r="H194" s="215"/>
      <c r="I194" s="214"/>
      <c r="J194" s="214"/>
    </row>
    <row r="195" ht="15.75" customHeight="1">
      <c r="A195" s="259"/>
      <c r="B195" s="260"/>
      <c r="C195" s="261"/>
      <c r="D195" s="261"/>
      <c r="E195" s="262"/>
      <c r="F195" s="215"/>
      <c r="G195" s="215"/>
      <c r="H195" s="215"/>
      <c r="I195" s="214"/>
      <c r="J195" s="214"/>
    </row>
    <row r="196" ht="15.75" customHeight="1">
      <c r="A196" s="259"/>
      <c r="B196" s="260"/>
      <c r="C196" s="261"/>
      <c r="D196" s="261"/>
      <c r="E196" s="262"/>
      <c r="F196" s="215"/>
      <c r="G196" s="215"/>
      <c r="H196" s="215"/>
      <c r="I196" s="214"/>
      <c r="J196" s="214"/>
    </row>
    <row r="197" ht="15.75" customHeight="1">
      <c r="A197" s="259"/>
      <c r="B197" s="260"/>
      <c r="C197" s="261"/>
      <c r="D197" s="261"/>
      <c r="E197" s="262"/>
      <c r="F197" s="215"/>
      <c r="G197" s="215"/>
      <c r="H197" s="215"/>
      <c r="I197" s="214"/>
      <c r="J197" s="214"/>
    </row>
    <row r="198" ht="15.75" customHeight="1">
      <c r="A198" s="259"/>
      <c r="B198" s="260"/>
      <c r="C198" s="261"/>
      <c r="D198" s="261"/>
      <c r="E198" s="262"/>
      <c r="F198" s="215"/>
      <c r="G198" s="215"/>
      <c r="H198" s="215"/>
      <c r="I198" s="214"/>
      <c r="J198" s="214"/>
    </row>
    <row r="199" ht="15.75" customHeight="1">
      <c r="A199" s="259"/>
      <c r="B199" s="260"/>
      <c r="C199" s="261"/>
      <c r="D199" s="261"/>
      <c r="E199" s="262"/>
      <c r="F199" s="215"/>
      <c r="G199" s="215"/>
      <c r="H199" s="215"/>
      <c r="I199" s="214"/>
      <c r="J199" s="214"/>
    </row>
    <row r="200" ht="15.75" customHeight="1">
      <c r="A200" s="259"/>
      <c r="B200" s="260"/>
      <c r="C200" s="261"/>
      <c r="D200" s="261"/>
      <c r="E200" s="262"/>
      <c r="F200" s="215"/>
      <c r="G200" s="215"/>
      <c r="H200" s="215"/>
      <c r="I200" s="214"/>
      <c r="J200" s="214"/>
    </row>
    <row r="201" ht="15.75" customHeight="1">
      <c r="A201" s="259"/>
      <c r="B201" s="260"/>
      <c r="C201" s="261"/>
      <c r="D201" s="261"/>
      <c r="E201" s="262"/>
      <c r="F201" s="215"/>
      <c r="G201" s="215"/>
      <c r="H201" s="215"/>
      <c r="I201" s="214"/>
      <c r="J201" s="214"/>
    </row>
    <row r="202" ht="15.75" customHeight="1">
      <c r="A202" s="259"/>
      <c r="B202" s="260"/>
      <c r="C202" s="261"/>
      <c r="D202" s="261"/>
      <c r="E202" s="262"/>
      <c r="F202" s="215"/>
      <c r="G202" s="215"/>
      <c r="H202" s="215"/>
      <c r="I202" s="214"/>
      <c r="J202" s="214"/>
    </row>
    <row r="203" ht="15.75" customHeight="1">
      <c r="A203" s="259"/>
      <c r="B203" s="260"/>
      <c r="C203" s="261"/>
      <c r="D203" s="261"/>
      <c r="E203" s="262"/>
      <c r="F203" s="215"/>
      <c r="G203" s="215"/>
      <c r="H203" s="215"/>
      <c r="I203" s="214"/>
      <c r="J203" s="214"/>
    </row>
    <row r="204" ht="15.75" customHeight="1">
      <c r="A204" s="259"/>
      <c r="B204" s="260"/>
      <c r="C204" s="261"/>
      <c r="D204" s="261"/>
      <c r="E204" s="262"/>
      <c r="F204" s="215"/>
      <c r="G204" s="215"/>
      <c r="H204" s="215"/>
      <c r="I204" s="214"/>
      <c r="J204" s="214"/>
    </row>
    <row r="205" ht="15.75" customHeight="1">
      <c r="A205" s="259"/>
      <c r="B205" s="260"/>
      <c r="C205" s="261"/>
      <c r="D205" s="261"/>
      <c r="E205" s="262"/>
      <c r="F205" s="215"/>
      <c r="G205" s="215"/>
      <c r="H205" s="215"/>
      <c r="I205" s="214"/>
      <c r="J205" s="214"/>
    </row>
    <row r="206" ht="15.75" customHeight="1">
      <c r="A206" s="259"/>
      <c r="B206" s="260"/>
      <c r="C206" s="261"/>
      <c r="D206" s="261"/>
      <c r="E206" s="262"/>
      <c r="F206" s="215"/>
      <c r="G206" s="215"/>
      <c r="H206" s="215"/>
      <c r="I206" s="214"/>
      <c r="J206" s="214"/>
    </row>
    <row r="207" ht="15.75" customHeight="1">
      <c r="A207" s="259"/>
      <c r="B207" s="260"/>
      <c r="C207" s="261"/>
      <c r="D207" s="261"/>
      <c r="E207" s="262"/>
      <c r="F207" s="215"/>
      <c r="G207" s="215"/>
      <c r="H207" s="215"/>
      <c r="I207" s="214"/>
      <c r="J207" s="214"/>
    </row>
    <row r="208" ht="15.75" customHeight="1">
      <c r="A208" s="259"/>
      <c r="B208" s="260"/>
      <c r="C208" s="261"/>
      <c r="D208" s="261"/>
      <c r="E208" s="262"/>
      <c r="F208" s="215"/>
      <c r="G208" s="215"/>
      <c r="H208" s="215"/>
      <c r="I208" s="214"/>
      <c r="J208" s="214"/>
    </row>
    <row r="209" ht="15.75" customHeight="1">
      <c r="A209" s="259"/>
      <c r="B209" s="260"/>
      <c r="C209" s="261"/>
      <c r="D209" s="261"/>
      <c r="E209" s="262"/>
      <c r="F209" s="215"/>
      <c r="G209" s="215"/>
      <c r="H209" s="215"/>
      <c r="I209" s="214"/>
      <c r="J209" s="214"/>
    </row>
    <row r="210" ht="15.75" customHeight="1">
      <c r="A210" s="259"/>
      <c r="B210" s="260"/>
      <c r="C210" s="261"/>
      <c r="D210" s="261"/>
      <c r="E210" s="262"/>
      <c r="F210" s="215"/>
      <c r="G210" s="215"/>
      <c r="H210" s="215"/>
      <c r="I210" s="214"/>
      <c r="J210" s="214"/>
    </row>
    <row r="211" ht="15.75" customHeight="1">
      <c r="A211" s="259"/>
      <c r="B211" s="260"/>
      <c r="C211" s="261"/>
      <c r="D211" s="261"/>
      <c r="E211" s="262"/>
      <c r="F211" s="215"/>
      <c r="G211" s="215"/>
      <c r="H211" s="215"/>
      <c r="I211" s="214"/>
      <c r="J211" s="214"/>
    </row>
    <row r="212" ht="15.75" customHeight="1">
      <c r="A212" s="259"/>
      <c r="B212" s="260"/>
      <c r="C212" s="261"/>
      <c r="D212" s="261"/>
      <c r="E212" s="262"/>
      <c r="F212" s="215"/>
      <c r="G212" s="215"/>
      <c r="H212" s="215"/>
      <c r="I212" s="214"/>
      <c r="J212" s="214"/>
    </row>
    <row r="213" ht="15.75" customHeight="1">
      <c r="A213" s="259"/>
      <c r="B213" s="260"/>
      <c r="C213" s="261"/>
      <c r="D213" s="261"/>
      <c r="E213" s="262"/>
      <c r="F213" s="215"/>
      <c r="G213" s="215"/>
      <c r="H213" s="215"/>
      <c r="I213" s="214"/>
      <c r="J213" s="214"/>
    </row>
    <row r="214" ht="15.75" customHeight="1">
      <c r="A214" s="259"/>
      <c r="B214" s="260"/>
      <c r="C214" s="261"/>
      <c r="D214" s="261"/>
      <c r="E214" s="262"/>
      <c r="F214" s="215"/>
      <c r="G214" s="215"/>
      <c r="H214" s="215"/>
      <c r="I214" s="214"/>
      <c r="J214" s="214"/>
    </row>
    <row r="215" ht="15.75" customHeight="1">
      <c r="A215" s="259"/>
      <c r="B215" s="260"/>
      <c r="C215" s="261"/>
      <c r="D215" s="261"/>
      <c r="E215" s="262"/>
      <c r="F215" s="215"/>
      <c r="G215" s="215"/>
      <c r="H215" s="215"/>
      <c r="I215" s="214"/>
      <c r="J215" s="214"/>
    </row>
    <row r="216" ht="15.75" customHeight="1">
      <c r="A216" s="259"/>
      <c r="B216" s="260"/>
      <c r="C216" s="261"/>
      <c r="D216" s="261"/>
      <c r="E216" s="262"/>
      <c r="F216" s="215"/>
      <c r="G216" s="215"/>
      <c r="H216" s="215"/>
      <c r="I216" s="214"/>
      <c r="J216" s="214"/>
    </row>
    <row r="217" ht="15.75" customHeight="1">
      <c r="A217" s="259"/>
      <c r="B217" s="260"/>
      <c r="C217" s="261"/>
      <c r="D217" s="261"/>
      <c r="E217" s="262"/>
      <c r="F217" s="215"/>
      <c r="G217" s="215"/>
      <c r="H217" s="215"/>
      <c r="I217" s="214"/>
      <c r="J217" s="214"/>
    </row>
    <row r="218" ht="15.75" customHeight="1">
      <c r="A218" s="259"/>
      <c r="B218" s="260"/>
      <c r="C218" s="261"/>
      <c r="D218" s="261"/>
      <c r="E218" s="262"/>
      <c r="F218" s="215"/>
      <c r="G218" s="215"/>
      <c r="H218" s="215"/>
      <c r="I218" s="214"/>
      <c r="J218" s="214"/>
    </row>
    <row r="219" ht="15.75" customHeight="1">
      <c r="A219" s="259"/>
      <c r="B219" s="260"/>
      <c r="C219" s="261"/>
      <c r="D219" s="261"/>
      <c r="E219" s="262"/>
      <c r="F219" s="215"/>
      <c r="G219" s="215"/>
      <c r="H219" s="215"/>
      <c r="I219" s="214"/>
      <c r="J219" s="214"/>
    </row>
    <row r="220" ht="15.75" customHeight="1">
      <c r="A220" s="259"/>
      <c r="B220" s="260"/>
      <c r="C220" s="261"/>
      <c r="D220" s="261"/>
      <c r="E220" s="262"/>
      <c r="F220" s="215"/>
      <c r="G220" s="215"/>
      <c r="H220" s="215"/>
      <c r="I220" s="214"/>
      <c r="J220" s="214"/>
    </row>
    <row r="221" ht="15.75" customHeight="1">
      <c r="A221" s="259"/>
      <c r="B221" s="260"/>
      <c r="C221" s="261"/>
      <c r="D221" s="261"/>
      <c r="E221" s="262"/>
      <c r="F221" s="215"/>
      <c r="G221" s="215"/>
      <c r="H221" s="215"/>
      <c r="I221" s="214"/>
      <c r="J221" s="214"/>
    </row>
    <row r="222" ht="15.75" customHeight="1">
      <c r="A222" s="259"/>
      <c r="B222" s="260"/>
      <c r="C222" s="261"/>
      <c r="D222" s="261"/>
      <c r="E222" s="262"/>
      <c r="F222" s="215"/>
      <c r="G222" s="215"/>
      <c r="H222" s="215"/>
      <c r="I222" s="214"/>
      <c r="J222" s="214"/>
    </row>
    <row r="223" ht="15.75" customHeight="1">
      <c r="A223" s="259"/>
      <c r="B223" s="260"/>
      <c r="C223" s="261"/>
      <c r="D223" s="261"/>
      <c r="E223" s="262"/>
      <c r="F223" s="215"/>
      <c r="G223" s="215"/>
      <c r="H223" s="215"/>
      <c r="I223" s="214"/>
      <c r="J223" s="214"/>
    </row>
    <row r="224" ht="15.75" customHeight="1">
      <c r="A224" s="259"/>
      <c r="B224" s="260"/>
      <c r="C224" s="261"/>
      <c r="D224" s="261"/>
      <c r="E224" s="262"/>
      <c r="F224" s="215"/>
      <c r="G224" s="215"/>
      <c r="H224" s="215"/>
      <c r="I224" s="214"/>
      <c r="J224" s="214"/>
    </row>
    <row r="225" ht="15.75" customHeight="1">
      <c r="A225" s="259"/>
      <c r="B225" s="260"/>
      <c r="C225" s="261"/>
      <c r="D225" s="261"/>
      <c r="E225" s="262"/>
      <c r="F225" s="215"/>
      <c r="G225" s="215"/>
      <c r="H225" s="215"/>
      <c r="I225" s="214"/>
      <c r="J225" s="214"/>
    </row>
    <row r="226" ht="15.75" customHeight="1">
      <c r="A226" s="259"/>
      <c r="B226" s="260"/>
      <c r="C226" s="261"/>
      <c r="D226" s="261"/>
      <c r="E226" s="262"/>
      <c r="F226" s="215"/>
      <c r="G226" s="215"/>
      <c r="H226" s="215"/>
      <c r="I226" s="214"/>
      <c r="J226" s="214"/>
    </row>
    <row r="227" ht="15.75" customHeight="1">
      <c r="A227" s="259"/>
      <c r="B227" s="260"/>
      <c r="C227" s="261"/>
      <c r="D227" s="261"/>
      <c r="E227" s="262"/>
      <c r="F227" s="215"/>
      <c r="G227" s="215"/>
      <c r="H227" s="215"/>
      <c r="I227" s="214"/>
      <c r="J227" s="214"/>
    </row>
    <row r="228" ht="15.75" customHeight="1">
      <c r="A228" s="259"/>
      <c r="B228" s="260"/>
      <c r="C228" s="261"/>
      <c r="D228" s="261"/>
      <c r="E228" s="262"/>
      <c r="F228" s="215"/>
      <c r="G228" s="215"/>
      <c r="H228" s="215"/>
      <c r="I228" s="214"/>
      <c r="J228" s="214"/>
    </row>
    <row r="229" ht="15.75" customHeight="1">
      <c r="A229" s="259"/>
      <c r="B229" s="260"/>
      <c r="C229" s="261"/>
      <c r="D229" s="261"/>
      <c r="E229" s="262"/>
      <c r="F229" s="215"/>
      <c r="G229" s="215"/>
      <c r="H229" s="215"/>
      <c r="I229" s="214"/>
      <c r="J229" s="214"/>
    </row>
    <row r="230" ht="15.75" customHeight="1">
      <c r="A230" s="259"/>
      <c r="B230" s="260"/>
      <c r="C230" s="261"/>
      <c r="D230" s="261"/>
      <c r="E230" s="262"/>
      <c r="F230" s="215"/>
      <c r="G230" s="215"/>
      <c r="H230" s="215"/>
      <c r="I230" s="214"/>
      <c r="J230" s="214"/>
    </row>
    <row r="231" ht="15.75" customHeight="1">
      <c r="A231" s="259"/>
      <c r="B231" s="260"/>
      <c r="C231" s="261"/>
      <c r="D231" s="261"/>
      <c r="E231" s="262"/>
      <c r="F231" s="215"/>
      <c r="G231" s="215"/>
      <c r="H231" s="215"/>
      <c r="I231" s="214"/>
      <c r="J231" s="214"/>
    </row>
    <row r="232" ht="15.75" customHeight="1">
      <c r="A232" s="259"/>
      <c r="B232" s="260"/>
      <c r="C232" s="261"/>
      <c r="D232" s="261"/>
      <c r="E232" s="262"/>
      <c r="F232" s="215"/>
      <c r="G232" s="215"/>
      <c r="H232" s="215"/>
      <c r="I232" s="214"/>
      <c r="J232" s="214"/>
    </row>
    <row r="233" ht="15.75" customHeight="1">
      <c r="A233" s="259"/>
      <c r="B233" s="260"/>
      <c r="C233" s="261"/>
      <c r="D233" s="261"/>
      <c r="E233" s="262"/>
      <c r="F233" s="215"/>
      <c r="G233" s="215"/>
      <c r="H233" s="215"/>
      <c r="I233" s="214"/>
      <c r="J233" s="214"/>
    </row>
    <row r="234" ht="15.75" customHeight="1">
      <c r="A234" s="259"/>
      <c r="B234" s="260"/>
      <c r="C234" s="261"/>
      <c r="D234" s="261"/>
      <c r="E234" s="262"/>
      <c r="F234" s="215"/>
      <c r="G234" s="215"/>
      <c r="H234" s="215"/>
      <c r="I234" s="214"/>
      <c r="J234" s="214"/>
    </row>
    <row r="235" ht="15.75" customHeight="1">
      <c r="A235" s="259"/>
      <c r="B235" s="260"/>
      <c r="C235" s="261"/>
      <c r="D235" s="261"/>
      <c r="E235" s="262"/>
      <c r="F235" s="215"/>
      <c r="G235" s="215"/>
      <c r="H235" s="215"/>
      <c r="I235" s="214"/>
      <c r="J235" s="214"/>
    </row>
    <row r="236" ht="15.75" customHeight="1">
      <c r="A236" s="259"/>
      <c r="B236" s="260"/>
      <c r="C236" s="261"/>
      <c r="D236" s="261"/>
      <c r="E236" s="262"/>
      <c r="F236" s="215"/>
      <c r="G236" s="215"/>
      <c r="H236" s="215"/>
      <c r="I236" s="214"/>
      <c r="J236" s="214"/>
    </row>
    <row r="237" ht="15.75" customHeight="1">
      <c r="A237" s="259"/>
      <c r="B237" s="260"/>
      <c r="C237" s="261"/>
      <c r="D237" s="261"/>
      <c r="E237" s="262"/>
      <c r="F237" s="215"/>
      <c r="G237" s="215"/>
      <c r="H237" s="215"/>
      <c r="I237" s="214"/>
      <c r="J237" s="214"/>
    </row>
    <row r="238" ht="15.75" customHeight="1">
      <c r="A238" s="259"/>
      <c r="B238" s="260"/>
      <c r="C238" s="261"/>
      <c r="D238" s="261"/>
      <c r="E238" s="262"/>
      <c r="F238" s="215"/>
      <c r="G238" s="215"/>
      <c r="H238" s="215"/>
      <c r="I238" s="214"/>
      <c r="J238" s="214"/>
    </row>
    <row r="239" ht="15.75" customHeight="1">
      <c r="A239" s="259"/>
      <c r="B239" s="260"/>
      <c r="C239" s="261"/>
      <c r="D239" s="261"/>
      <c r="E239" s="262"/>
      <c r="F239" s="215"/>
      <c r="G239" s="215"/>
      <c r="H239" s="215"/>
      <c r="I239" s="214"/>
      <c r="J239" s="214"/>
    </row>
    <row r="240" ht="15.75" customHeight="1">
      <c r="A240" s="259"/>
      <c r="B240" s="260"/>
      <c r="C240" s="261"/>
      <c r="D240" s="261"/>
      <c r="E240" s="262"/>
      <c r="F240" s="215"/>
      <c r="G240" s="215"/>
      <c r="H240" s="215"/>
      <c r="I240" s="214"/>
      <c r="J240" s="214"/>
    </row>
    <row r="241" ht="15.75" customHeight="1">
      <c r="A241" s="259"/>
      <c r="B241" s="260"/>
      <c r="C241" s="261"/>
      <c r="D241" s="261"/>
      <c r="E241" s="262"/>
      <c r="F241" s="215"/>
      <c r="G241" s="215"/>
      <c r="H241" s="215"/>
      <c r="I241" s="214"/>
      <c r="J241" s="214"/>
    </row>
    <row r="242" ht="15.75" customHeight="1">
      <c r="A242" s="259"/>
      <c r="B242" s="260"/>
      <c r="C242" s="261"/>
      <c r="D242" s="261"/>
      <c r="E242" s="262"/>
      <c r="F242" s="215"/>
      <c r="G242" s="215"/>
      <c r="H242" s="215"/>
      <c r="I242" s="214"/>
      <c r="J242" s="214"/>
    </row>
    <row r="243" ht="15.75" customHeight="1">
      <c r="A243" s="259"/>
      <c r="B243" s="260"/>
      <c r="C243" s="261"/>
      <c r="D243" s="261"/>
      <c r="E243" s="262"/>
      <c r="F243" s="215"/>
      <c r="G243" s="215"/>
      <c r="H243" s="215"/>
      <c r="I243" s="214"/>
      <c r="J243" s="214"/>
    </row>
    <row r="244" ht="15.75" customHeight="1">
      <c r="A244" s="259"/>
      <c r="B244" s="260"/>
      <c r="C244" s="261"/>
      <c r="D244" s="261"/>
      <c r="E244" s="262"/>
      <c r="F244" s="215"/>
      <c r="G244" s="215"/>
      <c r="H244" s="215"/>
      <c r="I244" s="214"/>
      <c r="J244" s="214"/>
    </row>
    <row r="245" ht="15.75" customHeight="1">
      <c r="A245" s="259"/>
      <c r="B245" s="260"/>
      <c r="C245" s="261"/>
      <c r="D245" s="261"/>
      <c r="E245" s="262"/>
      <c r="F245" s="215"/>
      <c r="G245" s="215"/>
      <c r="H245" s="215"/>
      <c r="I245" s="214"/>
      <c r="J245" s="214"/>
    </row>
    <row r="246" ht="15.75" customHeight="1">
      <c r="A246" s="259"/>
      <c r="B246" s="260"/>
      <c r="C246" s="261"/>
      <c r="D246" s="261"/>
      <c r="E246" s="262"/>
      <c r="F246" s="215"/>
      <c r="G246" s="215"/>
      <c r="H246" s="215"/>
      <c r="I246" s="214"/>
      <c r="J246" s="214"/>
    </row>
    <row r="247" ht="15.75" customHeight="1">
      <c r="A247" s="259"/>
      <c r="B247" s="260"/>
      <c r="C247" s="261"/>
      <c r="D247" s="261"/>
      <c r="E247" s="262"/>
      <c r="F247" s="215"/>
      <c r="G247" s="215"/>
      <c r="H247" s="215"/>
      <c r="I247" s="214"/>
      <c r="J247" s="214"/>
    </row>
    <row r="248" ht="15.75" customHeight="1">
      <c r="A248" s="259"/>
      <c r="B248" s="260"/>
      <c r="C248" s="261"/>
      <c r="D248" s="261"/>
      <c r="E248" s="262"/>
      <c r="F248" s="215"/>
      <c r="G248" s="215"/>
      <c r="H248" s="215"/>
      <c r="I248" s="214"/>
      <c r="J248" s="214"/>
    </row>
    <row r="249" ht="15.75" customHeight="1">
      <c r="A249" s="259"/>
      <c r="B249" s="260"/>
      <c r="C249" s="261"/>
      <c r="D249" s="261"/>
      <c r="E249" s="262"/>
      <c r="F249" s="215"/>
      <c r="G249" s="215"/>
      <c r="H249" s="215"/>
      <c r="I249" s="214"/>
      <c r="J249" s="214"/>
    </row>
    <row r="250" ht="15.75" customHeight="1">
      <c r="A250" s="259"/>
      <c r="B250" s="260"/>
      <c r="C250" s="261"/>
      <c r="D250" s="261"/>
      <c r="E250" s="262"/>
      <c r="F250" s="215"/>
      <c r="G250" s="215"/>
      <c r="H250" s="215"/>
      <c r="I250" s="214"/>
      <c r="J250" s="214"/>
    </row>
    <row r="251" ht="15.75" customHeight="1">
      <c r="A251" s="259"/>
      <c r="B251" s="260"/>
      <c r="C251" s="261"/>
      <c r="D251" s="261"/>
      <c r="E251" s="262"/>
      <c r="F251" s="215"/>
      <c r="G251" s="215"/>
      <c r="H251" s="215"/>
      <c r="I251" s="214"/>
      <c r="J251" s="214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2:F2"/>
    <mergeCell ref="B4:F4"/>
    <mergeCell ref="B15:B17"/>
    <mergeCell ref="B18:J18"/>
    <mergeCell ref="A19:A21"/>
    <mergeCell ref="B19:B21"/>
    <mergeCell ref="H22:H24"/>
    <mergeCell ref="A26:A28"/>
    <mergeCell ref="B26:B28"/>
    <mergeCell ref="H27:H29"/>
    <mergeCell ref="A29:A31"/>
    <mergeCell ref="B29:B31"/>
    <mergeCell ref="D29:D31"/>
    <mergeCell ref="F31:F32"/>
    <mergeCell ref="D37:D39"/>
    <mergeCell ref="D40:D42"/>
    <mergeCell ref="F46:F51"/>
    <mergeCell ref="A32:A34"/>
    <mergeCell ref="B32:B34"/>
    <mergeCell ref="D32:D34"/>
    <mergeCell ref="A37:A39"/>
    <mergeCell ref="F37:F38"/>
    <mergeCell ref="F39:F40"/>
    <mergeCell ref="A40:A42"/>
  </mergeCells>
  <drawing r:id="rId1"/>
</worksheet>
</file>