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eo/LINKS - OneDrive/LINKS/PROGETTI/STORAGE4GRID/DSF/Economic Model/"/>
    </mc:Choice>
  </mc:AlternateContent>
  <xr:revisionPtr revIDLastSave="0" documentId="13_ncr:1_{E43E5D18-DB5A-9E4D-8BAB-2DF3525F2EAC}" xr6:coauthVersionLast="43" xr6:coauthVersionMax="43" xr10:uidLastSave="{00000000-0000-0000-0000-000000000000}"/>
  <bookViews>
    <workbookView xWindow="0" yWindow="460" windowWidth="28800" windowHeight="16560" activeTab="2" xr2:uid="{09BBFBE9-CBA2-F54E-80F7-B5CB2BE337B9}"/>
  </bookViews>
  <sheets>
    <sheet name="Input regression PV" sheetId="2" r:id="rId1"/>
    <sheet name="Battery cost trend" sheetId="5" r:id="rId2"/>
    <sheet name="INPUTS" sheetId="1" r:id="rId3"/>
    <sheet name="OUTPUT" sheetId="3" r:id="rId4"/>
    <sheet name="GRAPH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5" l="1"/>
  <c r="B4" i="3" l="1"/>
  <c r="B5" i="3"/>
  <c r="B6" i="3"/>
  <c r="B7" i="3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C3" i="3" l="1"/>
  <c r="C33" i="3"/>
  <c r="D33" i="3" s="1"/>
  <c r="E33" i="3" s="1"/>
  <c r="C4" i="3"/>
  <c r="C12" i="3"/>
  <c r="C24" i="3"/>
  <c r="D24" i="3" s="1"/>
  <c r="E24" i="3" s="1"/>
  <c r="C8" i="3"/>
  <c r="C20" i="3"/>
  <c r="C32" i="3"/>
  <c r="F32" i="3" s="1"/>
  <c r="H32" i="3" s="1"/>
  <c r="I32" i="3" s="1"/>
  <c r="C16" i="3"/>
  <c r="C27" i="3"/>
  <c r="F27" i="3" s="1"/>
  <c r="H27" i="3" s="1"/>
  <c r="I27" i="3" s="1"/>
  <c r="C19" i="3"/>
  <c r="C30" i="3"/>
  <c r="C26" i="3"/>
  <c r="C22" i="3"/>
  <c r="C18" i="3"/>
  <c r="C14" i="3"/>
  <c r="C10" i="3"/>
  <c r="C6" i="3"/>
  <c r="C31" i="3"/>
  <c r="F31" i="3" s="1"/>
  <c r="H31" i="3" s="1"/>
  <c r="I31" i="3" s="1"/>
  <c r="C23" i="3"/>
  <c r="C15" i="3"/>
  <c r="C11" i="3"/>
  <c r="C7" i="3"/>
  <c r="C29" i="3"/>
  <c r="C25" i="3"/>
  <c r="C21" i="3"/>
  <c r="C17" i="3"/>
  <c r="C13" i="3"/>
  <c r="C9" i="3"/>
  <c r="F33" i="3" l="1"/>
  <c r="G33" i="3" s="1"/>
  <c r="G31" i="3"/>
  <c r="G32" i="3"/>
  <c r="G27" i="3"/>
  <c r="C28" i="3"/>
  <c r="D28" i="3" s="1"/>
  <c r="E28" i="3" s="1"/>
  <c r="D32" i="3"/>
  <c r="E32" i="3" s="1"/>
  <c r="D27" i="3"/>
  <c r="E27" i="3" s="1"/>
  <c r="C5" i="3"/>
  <c r="D31" i="3"/>
  <c r="E31" i="3" s="1"/>
  <c r="F24" i="3"/>
  <c r="D26" i="3"/>
  <c r="E26" i="3" s="1"/>
  <c r="F26" i="3"/>
  <c r="D25" i="3"/>
  <c r="E25" i="3" s="1"/>
  <c r="F25" i="3"/>
  <c r="D30" i="3"/>
  <c r="E30" i="3" s="1"/>
  <c r="F30" i="3"/>
  <c r="F29" i="3"/>
  <c r="D29" i="3"/>
  <c r="E29" i="3" s="1"/>
  <c r="H33" i="3" l="1"/>
  <c r="I33" i="3" s="1"/>
  <c r="F28" i="3"/>
  <c r="H30" i="3"/>
  <c r="I30" i="3" s="1"/>
  <c r="G30" i="3"/>
  <c r="H25" i="3"/>
  <c r="I25" i="3" s="1"/>
  <c r="G25" i="3"/>
  <c r="H26" i="3"/>
  <c r="I26" i="3" s="1"/>
  <c r="G26" i="3"/>
  <c r="H29" i="3"/>
  <c r="I29" i="3" s="1"/>
  <c r="G29" i="3"/>
  <c r="H24" i="3"/>
  <c r="I24" i="3" s="1"/>
  <c r="G24" i="3"/>
  <c r="H28" i="3" l="1"/>
  <c r="I28" i="3" s="1"/>
  <c r="G28" i="3"/>
  <c r="P24" i="3" l="1"/>
  <c r="Q24" i="3" s="1"/>
  <c r="P25" i="3"/>
  <c r="Q25" i="3" s="1"/>
  <c r="P26" i="3"/>
  <c r="Q26" i="3" s="1"/>
  <c r="P27" i="3"/>
  <c r="Q27" i="3" s="1"/>
  <c r="P28" i="3"/>
  <c r="Q28" i="3" s="1"/>
  <c r="P29" i="3"/>
  <c r="Q29" i="3" s="1"/>
  <c r="P30" i="3"/>
  <c r="Q30" i="3" s="1"/>
  <c r="P31" i="3"/>
  <c r="Q31" i="3" s="1"/>
  <c r="P32" i="3"/>
  <c r="Q32" i="3" s="1"/>
  <c r="P33" i="3"/>
  <c r="Q33" i="3" s="1"/>
  <c r="M3" i="3"/>
  <c r="O3" i="3"/>
  <c r="N24" i="3"/>
  <c r="O24" i="3" s="1"/>
  <c r="N25" i="3"/>
  <c r="O25" i="3" s="1"/>
  <c r="N26" i="3"/>
  <c r="O26" i="3" s="1"/>
  <c r="N27" i="3"/>
  <c r="O27" i="3" s="1"/>
  <c r="N28" i="3"/>
  <c r="O28" i="3" s="1"/>
  <c r="N29" i="3"/>
  <c r="O29" i="3" s="1"/>
  <c r="N30" i="3"/>
  <c r="O30" i="3" s="1"/>
  <c r="N31" i="3"/>
  <c r="O31" i="3" s="1"/>
  <c r="N32" i="3"/>
  <c r="O32" i="3" s="1"/>
  <c r="N33" i="3"/>
  <c r="O33" i="3" s="1"/>
  <c r="L24" i="3"/>
  <c r="M24" i="3" s="1"/>
  <c r="L25" i="3"/>
  <c r="M25" i="3" s="1"/>
  <c r="L26" i="3"/>
  <c r="M26" i="3" s="1"/>
  <c r="L27" i="3"/>
  <c r="M27" i="3" s="1"/>
  <c r="L28" i="3"/>
  <c r="M28" i="3" s="1"/>
  <c r="L29" i="3"/>
  <c r="M29" i="3" s="1"/>
  <c r="L30" i="3"/>
  <c r="M30" i="3" s="1"/>
  <c r="L31" i="3"/>
  <c r="M31" i="3" s="1"/>
  <c r="L32" i="3"/>
  <c r="M32" i="3" s="1"/>
  <c r="L33" i="3"/>
  <c r="M33" i="3" s="1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8" i="2"/>
  <c r="T7" i="3"/>
  <c r="U7" i="3"/>
  <c r="S7" i="3"/>
  <c r="B18" i="1"/>
  <c r="B3" i="1"/>
  <c r="B16" i="1"/>
  <c r="B21" i="1"/>
  <c r="B9" i="1" l="1"/>
  <c r="C9" i="1"/>
  <c r="F3" i="3" l="1"/>
  <c r="F5" i="5"/>
  <c r="F6" i="5" s="1"/>
  <c r="F7" i="5" s="1"/>
  <c r="F4" i="5"/>
  <c r="H3" i="3" l="1"/>
  <c r="I3" i="3" s="1"/>
  <c r="G3" i="3"/>
  <c r="G1" i="4"/>
  <c r="E1" i="4"/>
  <c r="C1" i="4"/>
  <c r="D3" i="5"/>
  <c r="F16" i="5" l="1"/>
  <c r="I2" i="5" s="1"/>
  <c r="B24" i="1" s="1"/>
  <c r="C21" i="5"/>
  <c r="D21" i="5" s="1"/>
  <c r="D5" i="5" s="1"/>
  <c r="D6" i="5" s="1"/>
  <c r="D7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A16" i="5"/>
  <c r="B16" i="5" s="1"/>
  <c r="B4" i="5" s="1"/>
  <c r="B5" i="5" s="1"/>
  <c r="B6" i="5" s="1"/>
  <c r="B7" i="5" s="1"/>
  <c r="B8" i="5" s="1"/>
  <c r="B9" i="5" s="1"/>
  <c r="B10" i="5" s="1"/>
  <c r="B11" i="5" s="1"/>
  <c r="B12" i="5" s="1"/>
  <c r="C18" i="2" l="1"/>
  <c r="C19" i="2"/>
  <c r="C20" i="2"/>
  <c r="C21" i="2"/>
  <c r="C22" i="2"/>
  <c r="C23" i="2"/>
  <c r="C24" i="2"/>
  <c r="C25" i="2"/>
  <c r="C26" i="2"/>
  <c r="C27" i="2"/>
  <c r="C28" i="2"/>
  <c r="B19" i="1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F15" i="3" l="1"/>
  <c r="F18" i="3"/>
  <c r="F16" i="3"/>
  <c r="F4" i="3"/>
  <c r="F22" i="3"/>
  <c r="F13" i="3"/>
  <c r="F17" i="3"/>
  <c r="F21" i="3"/>
  <c r="F8" i="3"/>
  <c r="F20" i="3"/>
  <c r="F14" i="3"/>
  <c r="F10" i="3"/>
  <c r="F6" i="3"/>
  <c r="F23" i="3"/>
  <c r="F7" i="3"/>
  <c r="F12" i="3"/>
  <c r="F5" i="3"/>
  <c r="F9" i="3"/>
  <c r="F19" i="3"/>
  <c r="F11" i="3"/>
  <c r="E31" i="4"/>
  <c r="E30" i="4"/>
  <c r="E29" i="4"/>
  <c r="E32" i="4"/>
  <c r="B29" i="4"/>
  <c r="B30" i="4"/>
  <c r="C31" i="4"/>
  <c r="C32" i="4"/>
  <c r="H2" i="4"/>
  <c r="I2" i="4"/>
  <c r="H3" i="4"/>
  <c r="I3" i="4"/>
  <c r="H4" i="4"/>
  <c r="I4" i="4"/>
  <c r="H5" i="4"/>
  <c r="I5" i="4"/>
  <c r="H6" i="4"/>
  <c r="I6" i="4"/>
  <c r="H7" i="4"/>
  <c r="I7" i="4"/>
  <c r="H8" i="4"/>
  <c r="I8" i="4"/>
  <c r="H9" i="4"/>
  <c r="I9" i="4"/>
  <c r="H10" i="4"/>
  <c r="I10" i="4"/>
  <c r="H11" i="4"/>
  <c r="I11" i="4"/>
  <c r="H12" i="4"/>
  <c r="I12" i="4"/>
  <c r="H13" i="4"/>
  <c r="I13" i="4"/>
  <c r="H14" i="4"/>
  <c r="I14" i="4"/>
  <c r="H15" i="4"/>
  <c r="I15" i="4"/>
  <c r="H16" i="4"/>
  <c r="I16" i="4"/>
  <c r="H17" i="4"/>
  <c r="I17" i="4"/>
  <c r="H18" i="4"/>
  <c r="I18" i="4"/>
  <c r="H19" i="4"/>
  <c r="I19" i="4"/>
  <c r="H20" i="4"/>
  <c r="I20" i="4"/>
  <c r="H21" i="4"/>
  <c r="I21" i="4"/>
  <c r="H22" i="4"/>
  <c r="I22" i="4"/>
  <c r="H23" i="4"/>
  <c r="I23" i="4"/>
  <c r="H24" i="4"/>
  <c r="I24" i="4"/>
  <c r="H25" i="4"/>
  <c r="I25" i="4"/>
  <c r="H26" i="4"/>
  <c r="I26" i="4"/>
  <c r="H27" i="4"/>
  <c r="I27" i="4"/>
  <c r="H28" i="4"/>
  <c r="I28" i="4"/>
  <c r="H29" i="4"/>
  <c r="I29" i="4"/>
  <c r="H30" i="4"/>
  <c r="I30" i="4"/>
  <c r="H31" i="4"/>
  <c r="I31" i="4"/>
  <c r="H32" i="4"/>
  <c r="I32" i="4"/>
  <c r="I1" i="4"/>
  <c r="H34" i="4"/>
  <c r="B1" i="4"/>
  <c r="D1" i="4"/>
  <c r="F1" i="4"/>
  <c r="B34" i="4"/>
  <c r="D34" i="4"/>
  <c r="F34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4" i="4"/>
  <c r="A1" i="4"/>
  <c r="K35" i="3"/>
  <c r="I34" i="4" s="1"/>
  <c r="B12" i="1"/>
  <c r="D3" i="3" s="1"/>
  <c r="F5" i="2"/>
  <c r="F4" i="2"/>
  <c r="F3" i="2"/>
  <c r="G6" i="3" l="1"/>
  <c r="H6" i="3"/>
  <c r="I6" i="3" s="1"/>
  <c r="G22" i="3"/>
  <c r="H22" i="3"/>
  <c r="I22" i="3" s="1"/>
  <c r="G11" i="3"/>
  <c r="H11" i="3"/>
  <c r="I11" i="3" s="1"/>
  <c r="H10" i="3"/>
  <c r="I10" i="3" s="1"/>
  <c r="G10" i="3"/>
  <c r="G4" i="3"/>
  <c r="H4" i="3"/>
  <c r="I4" i="3" s="1"/>
  <c r="H19" i="3"/>
  <c r="I19" i="3" s="1"/>
  <c r="G19" i="3"/>
  <c r="H7" i="3"/>
  <c r="I7" i="3" s="1"/>
  <c r="G7" i="3"/>
  <c r="G14" i="3"/>
  <c r="H14" i="3"/>
  <c r="I14" i="3" s="1"/>
  <c r="H17" i="3"/>
  <c r="I17" i="3" s="1"/>
  <c r="G17" i="3"/>
  <c r="G16" i="3"/>
  <c r="H16" i="3"/>
  <c r="I16" i="3" s="1"/>
  <c r="H5" i="3"/>
  <c r="I5" i="3" s="1"/>
  <c r="G5" i="3"/>
  <c r="G8" i="3"/>
  <c r="H8" i="3"/>
  <c r="I8" i="3" s="1"/>
  <c r="H12" i="3"/>
  <c r="I12" i="3" s="1"/>
  <c r="G12" i="3"/>
  <c r="G21" i="3"/>
  <c r="H21" i="3"/>
  <c r="I21" i="3" s="1"/>
  <c r="H9" i="3"/>
  <c r="I9" i="3" s="1"/>
  <c r="G9" i="3"/>
  <c r="G23" i="3"/>
  <c r="H23" i="3"/>
  <c r="I23" i="3" s="1"/>
  <c r="G20" i="3"/>
  <c r="H20" i="3"/>
  <c r="I20" i="3" s="1"/>
  <c r="H13" i="3"/>
  <c r="I13" i="3" s="1"/>
  <c r="G13" i="3"/>
  <c r="H18" i="3"/>
  <c r="I18" i="3" s="1"/>
  <c r="G18" i="3"/>
  <c r="G15" i="3"/>
  <c r="H15" i="3"/>
  <c r="I15" i="3" s="1"/>
  <c r="E3" i="3"/>
  <c r="C2" i="4" s="1"/>
  <c r="P3" i="3"/>
  <c r="Q3" i="3" s="1"/>
  <c r="E20" i="2"/>
  <c r="E24" i="2"/>
  <c r="E28" i="2"/>
  <c r="E32" i="2"/>
  <c r="E36" i="2"/>
  <c r="E40" i="2"/>
  <c r="E44" i="2"/>
  <c r="E48" i="2"/>
  <c r="E52" i="2"/>
  <c r="E56" i="2"/>
  <c r="E60" i="2"/>
  <c r="E64" i="2"/>
  <c r="E68" i="2"/>
  <c r="E72" i="2"/>
  <c r="E76" i="2"/>
  <c r="E80" i="2"/>
  <c r="E84" i="2"/>
  <c r="E88" i="2"/>
  <c r="E92" i="2"/>
  <c r="E96" i="2"/>
  <c r="E100" i="2"/>
  <c r="E104" i="2"/>
  <c r="E108" i="2"/>
  <c r="E112" i="2"/>
  <c r="E116" i="2"/>
  <c r="E120" i="2"/>
  <c r="E124" i="2"/>
  <c r="E128" i="2"/>
  <c r="E132" i="2"/>
  <c r="E136" i="2"/>
  <c r="E140" i="2"/>
  <c r="E144" i="2"/>
  <c r="E148" i="2"/>
  <c r="E152" i="2"/>
  <c r="E156" i="2"/>
  <c r="E160" i="2"/>
  <c r="E164" i="2"/>
  <c r="E168" i="2"/>
  <c r="E22" i="2"/>
  <c r="E30" i="2"/>
  <c r="E38" i="2"/>
  <c r="E50" i="2"/>
  <c r="E62" i="2"/>
  <c r="E66" i="2"/>
  <c r="E82" i="2"/>
  <c r="E90" i="2"/>
  <c r="E98" i="2"/>
  <c r="E106" i="2"/>
  <c r="E114" i="2"/>
  <c r="E126" i="2"/>
  <c r="E134" i="2"/>
  <c r="E142" i="2"/>
  <c r="E146" i="2"/>
  <c r="E162" i="2"/>
  <c r="E166" i="2"/>
  <c r="E109" i="2"/>
  <c r="E113" i="2"/>
  <c r="E125" i="2"/>
  <c r="E133" i="2"/>
  <c r="E141" i="2"/>
  <c r="E149" i="2"/>
  <c r="E153" i="2"/>
  <c r="E161" i="2"/>
  <c r="E19" i="2"/>
  <c r="E23" i="2"/>
  <c r="E27" i="2"/>
  <c r="E31" i="2"/>
  <c r="E35" i="2"/>
  <c r="E39" i="2"/>
  <c r="E43" i="2"/>
  <c r="E47" i="2"/>
  <c r="E51" i="2"/>
  <c r="E55" i="2"/>
  <c r="E59" i="2"/>
  <c r="E63" i="2"/>
  <c r="E67" i="2"/>
  <c r="E71" i="2"/>
  <c r="E75" i="2"/>
  <c r="E79" i="2"/>
  <c r="E83" i="2"/>
  <c r="E87" i="2"/>
  <c r="E91" i="2"/>
  <c r="E95" i="2"/>
  <c r="E99" i="2"/>
  <c r="E103" i="2"/>
  <c r="E107" i="2"/>
  <c r="E111" i="2"/>
  <c r="E115" i="2"/>
  <c r="E119" i="2"/>
  <c r="E123" i="2"/>
  <c r="E127" i="2"/>
  <c r="E131" i="2"/>
  <c r="E135" i="2"/>
  <c r="E139" i="2"/>
  <c r="E143" i="2"/>
  <c r="E147" i="2"/>
  <c r="E151" i="2"/>
  <c r="E155" i="2"/>
  <c r="E159" i="2"/>
  <c r="E163" i="2"/>
  <c r="E167" i="2"/>
  <c r="E18" i="2"/>
  <c r="E26" i="2"/>
  <c r="E34" i="2"/>
  <c r="E42" i="2"/>
  <c r="E46" i="2"/>
  <c r="E54" i="2"/>
  <c r="E58" i="2"/>
  <c r="E70" i="2"/>
  <c r="E74" i="2"/>
  <c r="E78" i="2"/>
  <c r="E86" i="2"/>
  <c r="E94" i="2"/>
  <c r="E102" i="2"/>
  <c r="E110" i="2"/>
  <c r="E118" i="2"/>
  <c r="E122" i="2"/>
  <c r="E130" i="2"/>
  <c r="E138" i="2"/>
  <c r="E150" i="2"/>
  <c r="E154" i="2"/>
  <c r="E158" i="2"/>
  <c r="E117" i="2"/>
  <c r="E121" i="2"/>
  <c r="E129" i="2"/>
  <c r="E137" i="2"/>
  <c r="E145" i="2"/>
  <c r="E157" i="2"/>
  <c r="E165" i="2"/>
  <c r="E21" i="2"/>
  <c r="E25" i="2"/>
  <c r="E29" i="2"/>
  <c r="E33" i="2"/>
  <c r="E37" i="2"/>
  <c r="E41" i="2"/>
  <c r="E45" i="2"/>
  <c r="E49" i="2"/>
  <c r="E53" i="2"/>
  <c r="E57" i="2"/>
  <c r="E61" i="2"/>
  <c r="E65" i="2"/>
  <c r="E69" i="2"/>
  <c r="E73" i="2"/>
  <c r="E77" i="2"/>
  <c r="E81" i="2"/>
  <c r="E85" i="2"/>
  <c r="E89" i="2"/>
  <c r="E93" i="2"/>
  <c r="E97" i="2"/>
  <c r="E101" i="2"/>
  <c r="E105" i="2"/>
  <c r="B14" i="1"/>
  <c r="C28" i="4"/>
  <c r="C27" i="4"/>
  <c r="C23" i="4"/>
  <c r="C26" i="4"/>
  <c r="B25" i="4"/>
  <c r="C29" i="4"/>
  <c r="D31" i="4"/>
  <c r="C30" i="4"/>
  <c r="B32" i="4"/>
  <c r="B31" i="4"/>
  <c r="D32" i="4"/>
  <c r="D30" i="4"/>
  <c r="D29" i="4"/>
  <c r="E2" i="4"/>
  <c r="D8" i="3" l="1"/>
  <c r="D12" i="3"/>
  <c r="D7" i="3"/>
  <c r="D21" i="3"/>
  <c r="D17" i="3"/>
  <c r="D6" i="3"/>
  <c r="D14" i="3"/>
  <c r="D18" i="3"/>
  <c r="D11" i="3"/>
  <c r="B10" i="4" s="1"/>
  <c r="D16" i="3"/>
  <c r="D19" i="3"/>
  <c r="D4" i="3"/>
  <c r="D15" i="3"/>
  <c r="D22" i="3"/>
  <c r="D23" i="3"/>
  <c r="D10" i="3"/>
  <c r="D9" i="3"/>
  <c r="D20" i="3"/>
  <c r="D13" i="3"/>
  <c r="B12" i="4" s="1"/>
  <c r="D5" i="3"/>
  <c r="C24" i="4"/>
  <c r="B23" i="4"/>
  <c r="B28" i="4"/>
  <c r="B2" i="4"/>
  <c r="B26" i="4"/>
  <c r="C25" i="4"/>
  <c r="B27" i="4"/>
  <c r="E23" i="3" l="1"/>
  <c r="C22" i="4" s="1"/>
  <c r="L23" i="3"/>
  <c r="M23" i="3" s="1"/>
  <c r="N23" i="3"/>
  <c r="O23" i="3" s="1"/>
  <c r="P23" i="3"/>
  <c r="Q23" i="3" s="1"/>
  <c r="E14" i="3"/>
  <c r="L14" i="3"/>
  <c r="M14" i="3" s="1"/>
  <c r="N14" i="3"/>
  <c r="O14" i="3" s="1"/>
  <c r="P14" i="3"/>
  <c r="Q14" i="3" s="1"/>
  <c r="B13" i="4"/>
  <c r="E16" i="3"/>
  <c r="C15" i="4" s="1"/>
  <c r="N16" i="3"/>
  <c r="O16" i="3" s="1"/>
  <c r="L16" i="3"/>
  <c r="M16" i="3" s="1"/>
  <c r="P16" i="3"/>
  <c r="Q16" i="3" s="1"/>
  <c r="E6" i="3"/>
  <c r="L6" i="3"/>
  <c r="M6" i="3" s="1"/>
  <c r="N6" i="3"/>
  <c r="O6" i="3" s="1"/>
  <c r="P6" i="3"/>
  <c r="Q6" i="3" s="1"/>
  <c r="E9" i="3"/>
  <c r="C8" i="4" s="1"/>
  <c r="N9" i="3"/>
  <c r="O9" i="3" s="1"/>
  <c r="L9" i="3"/>
  <c r="M9" i="3" s="1"/>
  <c r="P9" i="3"/>
  <c r="Q9" i="3" s="1"/>
  <c r="E15" i="3"/>
  <c r="C14" i="4" s="1"/>
  <c r="L15" i="3"/>
  <c r="M15" i="3" s="1"/>
  <c r="N15" i="3"/>
  <c r="O15" i="3" s="1"/>
  <c r="P15" i="3"/>
  <c r="Q15" i="3" s="1"/>
  <c r="E11" i="3"/>
  <c r="C10" i="4" s="1"/>
  <c r="L11" i="3"/>
  <c r="M11" i="3" s="1"/>
  <c r="N11" i="3"/>
  <c r="O11" i="3" s="1"/>
  <c r="P11" i="3"/>
  <c r="Q11" i="3" s="1"/>
  <c r="E17" i="3"/>
  <c r="C16" i="4" s="1"/>
  <c r="N17" i="3"/>
  <c r="O17" i="3" s="1"/>
  <c r="L17" i="3"/>
  <c r="M17" i="3" s="1"/>
  <c r="P17" i="3"/>
  <c r="Q17" i="3" s="1"/>
  <c r="E8" i="3"/>
  <c r="N8" i="3"/>
  <c r="O8" i="3" s="1"/>
  <c r="L8" i="3"/>
  <c r="M8" i="3" s="1"/>
  <c r="P8" i="3"/>
  <c r="Q8" i="3" s="1"/>
  <c r="E13" i="3"/>
  <c r="C12" i="4" s="1"/>
  <c r="N13" i="3"/>
  <c r="O13" i="3" s="1"/>
  <c r="L13" i="3"/>
  <c r="M13" i="3" s="1"/>
  <c r="P13" i="3"/>
  <c r="Q13" i="3" s="1"/>
  <c r="E19" i="3"/>
  <c r="L19" i="3"/>
  <c r="M19" i="3" s="1"/>
  <c r="N19" i="3"/>
  <c r="O19" i="3" s="1"/>
  <c r="P19" i="3"/>
  <c r="Q19" i="3" s="1"/>
  <c r="E7" i="3"/>
  <c r="C6" i="4" s="1"/>
  <c r="L7" i="3"/>
  <c r="M7" i="3" s="1"/>
  <c r="N7" i="3"/>
  <c r="O7" i="3" s="1"/>
  <c r="P7" i="3"/>
  <c r="Q7" i="3" s="1"/>
  <c r="E20" i="3"/>
  <c r="C19" i="4" s="1"/>
  <c r="N20" i="3"/>
  <c r="O20" i="3" s="1"/>
  <c r="L20" i="3"/>
  <c r="M20" i="3" s="1"/>
  <c r="P20" i="3"/>
  <c r="Q20" i="3" s="1"/>
  <c r="E22" i="3"/>
  <c r="L22" i="3"/>
  <c r="M22" i="3" s="1"/>
  <c r="N22" i="3"/>
  <c r="O22" i="3" s="1"/>
  <c r="P22" i="3"/>
  <c r="Q22" i="3" s="1"/>
  <c r="E12" i="3"/>
  <c r="C11" i="4" s="1"/>
  <c r="N12" i="3"/>
  <c r="O12" i="3" s="1"/>
  <c r="L12" i="3"/>
  <c r="M12" i="3" s="1"/>
  <c r="P12" i="3"/>
  <c r="Q12" i="3" s="1"/>
  <c r="E5" i="3"/>
  <c r="C4" i="4" s="1"/>
  <c r="N5" i="3"/>
  <c r="O5" i="3" s="1"/>
  <c r="L5" i="3"/>
  <c r="M5" i="3" s="1"/>
  <c r="P5" i="3"/>
  <c r="Q5" i="3" s="1"/>
  <c r="E10" i="3"/>
  <c r="C9" i="4" s="1"/>
  <c r="L10" i="3"/>
  <c r="M10" i="3" s="1"/>
  <c r="N10" i="3"/>
  <c r="O10" i="3" s="1"/>
  <c r="P10" i="3"/>
  <c r="Q10" i="3" s="1"/>
  <c r="E4" i="3"/>
  <c r="C3" i="4" s="1"/>
  <c r="L4" i="3"/>
  <c r="M4" i="3" s="1"/>
  <c r="N4" i="3"/>
  <c r="P4" i="3"/>
  <c r="Q4" i="3" s="1"/>
  <c r="E18" i="3"/>
  <c r="C17" i="4" s="1"/>
  <c r="L18" i="3"/>
  <c r="M18" i="3" s="1"/>
  <c r="N18" i="3"/>
  <c r="O18" i="3" s="1"/>
  <c r="P18" i="3"/>
  <c r="Q18" i="3" s="1"/>
  <c r="E21" i="3"/>
  <c r="C20" i="4" s="1"/>
  <c r="N21" i="3"/>
  <c r="O21" i="3" s="1"/>
  <c r="L21" i="3"/>
  <c r="M21" i="3" s="1"/>
  <c r="P21" i="3"/>
  <c r="Q21" i="3" s="1"/>
  <c r="C21" i="4"/>
  <c r="C18" i="4"/>
  <c r="B14" i="4"/>
  <c r="C13" i="4"/>
  <c r="C7" i="4"/>
  <c r="B9" i="4"/>
  <c r="B19" i="4"/>
  <c r="B22" i="4"/>
  <c r="B6" i="4"/>
  <c r="B7" i="4"/>
  <c r="B8" i="4"/>
  <c r="B11" i="4"/>
  <c r="B17" i="4"/>
  <c r="B16" i="4"/>
  <c r="B21" i="4"/>
  <c r="B15" i="4"/>
  <c r="B18" i="4"/>
  <c r="B3" i="4"/>
  <c r="B20" i="4"/>
  <c r="B24" i="4"/>
  <c r="B5" i="4"/>
  <c r="C5" i="4"/>
  <c r="B4" i="4"/>
  <c r="E24" i="4"/>
  <c r="D24" i="4"/>
  <c r="E28" i="4"/>
  <c r="D28" i="4"/>
  <c r="E25" i="4"/>
  <c r="D25" i="4"/>
  <c r="E27" i="4"/>
  <c r="D27" i="4"/>
  <c r="E26" i="4"/>
  <c r="D26" i="4"/>
  <c r="E23" i="4"/>
  <c r="D23" i="4"/>
  <c r="E3" i="4"/>
  <c r="D3" i="4"/>
  <c r="E13" i="4"/>
  <c r="D13" i="4"/>
  <c r="E4" i="4"/>
  <c r="D4" i="4"/>
  <c r="E9" i="4"/>
  <c r="D9" i="4"/>
  <c r="E14" i="4"/>
  <c r="D14" i="4"/>
  <c r="E16" i="4"/>
  <c r="D16" i="4"/>
  <c r="E21" i="4"/>
  <c r="D21" i="4"/>
  <c r="E5" i="4"/>
  <c r="D5" i="4"/>
  <c r="E7" i="4"/>
  <c r="D7" i="4"/>
  <c r="E10" i="4"/>
  <c r="D10" i="4"/>
  <c r="E8" i="4"/>
  <c r="D8" i="4"/>
  <c r="E15" i="4"/>
  <c r="D15" i="4"/>
  <c r="E18" i="4"/>
  <c r="D18" i="4"/>
  <c r="E20" i="4"/>
  <c r="D20" i="4"/>
  <c r="E11" i="4"/>
  <c r="D11" i="4"/>
  <c r="E12" i="4"/>
  <c r="D12" i="4"/>
  <c r="E17" i="4"/>
  <c r="D17" i="4"/>
  <c r="E19" i="4"/>
  <c r="D19" i="4"/>
  <c r="E22" i="4"/>
  <c r="D22" i="4"/>
  <c r="E6" i="4"/>
  <c r="D6" i="4"/>
  <c r="M35" i="3" l="1"/>
  <c r="O4" i="3"/>
  <c r="O35" i="3" s="1"/>
  <c r="N35" i="3"/>
  <c r="Q35" i="3"/>
  <c r="F29" i="4"/>
  <c r="G29" i="4"/>
  <c r="E35" i="3"/>
  <c r="F25" i="4"/>
  <c r="G25" i="4"/>
  <c r="G26" i="4"/>
  <c r="F26" i="4"/>
  <c r="F28" i="4"/>
  <c r="G28" i="4"/>
  <c r="G24" i="4"/>
  <c r="F24" i="4"/>
  <c r="G27" i="4"/>
  <c r="F27" i="4"/>
  <c r="G23" i="4"/>
  <c r="F23" i="4"/>
  <c r="F19" i="4"/>
  <c r="G19" i="4"/>
  <c r="F20" i="4"/>
  <c r="G20" i="4"/>
  <c r="F8" i="4"/>
  <c r="G8" i="4"/>
  <c r="F6" i="4"/>
  <c r="G6" i="4"/>
  <c r="G22" i="4"/>
  <c r="F22" i="4"/>
  <c r="F11" i="4"/>
  <c r="G11" i="4"/>
  <c r="G21" i="4"/>
  <c r="F21" i="4"/>
  <c r="F4" i="4"/>
  <c r="G4" i="4"/>
  <c r="F12" i="4"/>
  <c r="G12" i="4"/>
  <c r="F15" i="4"/>
  <c r="G15" i="4"/>
  <c r="G5" i="4"/>
  <c r="F5" i="4"/>
  <c r="F9" i="4"/>
  <c r="G9" i="4"/>
  <c r="G17" i="4"/>
  <c r="F17" i="4"/>
  <c r="G18" i="4"/>
  <c r="F18" i="4"/>
  <c r="F10" i="4"/>
  <c r="G10" i="4"/>
  <c r="F7" i="4"/>
  <c r="G7" i="4"/>
  <c r="F14" i="4"/>
  <c r="G14" i="4"/>
  <c r="F3" i="4"/>
  <c r="G35" i="3"/>
  <c r="F16" i="4"/>
  <c r="G16" i="4"/>
  <c r="F13" i="4"/>
  <c r="G13" i="4"/>
  <c r="T4" i="3" l="1"/>
  <c r="S8" i="3"/>
  <c r="S5" i="3" s="1"/>
  <c r="S4" i="3"/>
  <c r="T8" i="3"/>
  <c r="T5" i="3" s="1"/>
  <c r="G30" i="4"/>
  <c r="F30" i="4"/>
  <c r="E34" i="4"/>
  <c r="C34" i="4"/>
  <c r="G3" i="4"/>
  <c r="G31" i="4" l="1"/>
  <c r="F31" i="4"/>
  <c r="G32" i="4" l="1"/>
  <c r="F32" i="4"/>
  <c r="D2" i="4"/>
  <c r="I35" i="3" l="1"/>
  <c r="G2" i="4"/>
  <c r="F2" i="4"/>
  <c r="U4" i="3" l="1"/>
  <c r="G34" i="4"/>
  <c r="U8" i="3"/>
  <c r="U5" i="3" s="1"/>
</calcChain>
</file>

<file path=xl/sharedStrings.xml><?xml version="1.0" encoding="utf-8"?>
<sst xmlns="http://schemas.openxmlformats.org/spreadsheetml/2006/main" count="144" uniqueCount="99">
  <si>
    <t>INPUT</t>
  </si>
  <si>
    <t>PV penetration</t>
  </si>
  <si>
    <t>Type</t>
  </si>
  <si>
    <t>Number</t>
  </si>
  <si>
    <t>Operational Mode</t>
  </si>
  <si>
    <t>kWp</t>
  </si>
  <si>
    <t>PV penetration (%)</t>
  </si>
  <si>
    <t>Lifetime (years)</t>
  </si>
  <si>
    <t>Self-consumption (residential)</t>
  </si>
  <si>
    <t>Value</t>
  </si>
  <si>
    <t>VALUES</t>
  </si>
  <si>
    <t>Initial Table</t>
  </si>
  <si>
    <t>Regression parameter</t>
  </si>
  <si>
    <t>G.S. cost</t>
  </si>
  <si>
    <t>Coefficient</t>
  </si>
  <si>
    <t>a0</t>
  </si>
  <si>
    <t>a1</t>
  </si>
  <si>
    <t>a2</t>
  </si>
  <si>
    <t>Regression values</t>
  </si>
  <si>
    <t>G.S. cost for PV</t>
  </si>
  <si>
    <t>G.S. cost for Equivalent PV</t>
  </si>
  <si>
    <t>Timline (years)</t>
  </si>
  <si>
    <t>Battery Info:</t>
  </si>
  <si>
    <t>Scenario 0</t>
  </si>
  <si>
    <t>Scenario 1</t>
  </si>
  <si>
    <t>Scenario 2</t>
  </si>
  <si>
    <t>Scenario 3</t>
  </si>
  <si>
    <t>Time</t>
  </si>
  <si>
    <t>Support voltage regulation (Sub-station)</t>
  </si>
  <si>
    <t>TCO</t>
  </si>
  <si>
    <t>CFs</t>
  </si>
  <si>
    <t>Red values</t>
  </si>
  <si>
    <t>From Users</t>
  </si>
  <si>
    <t>Green Values</t>
  </si>
  <si>
    <t>From DSF-SE</t>
  </si>
  <si>
    <t>Blue Values</t>
  </si>
  <si>
    <t>From S4G Partnership</t>
  </si>
  <si>
    <t>Percentage of OpEx w.r.t. CapEx</t>
  </si>
  <si>
    <t>ENIIG</t>
  </si>
  <si>
    <t>LINKS</t>
  </si>
  <si>
    <t>Reduction in penalisation cost after introducing ESS (yearly)</t>
  </si>
  <si>
    <t>TBD</t>
  </si>
  <si>
    <t>Deferred investment (years)</t>
  </si>
  <si>
    <t>?</t>
  </si>
  <si>
    <t>Total Cost for the community</t>
  </si>
  <si>
    <t>Year</t>
  </si>
  <si>
    <t>$</t>
  </si>
  <si>
    <t>Rate of discount</t>
  </si>
  <si>
    <t>Yearly rate</t>
  </si>
  <si>
    <t>Average rate of battery decreasing price</t>
  </si>
  <si>
    <t>Source: ICF 2017</t>
  </si>
  <si>
    <t>Source: BSW 2017</t>
  </si>
  <si>
    <t>Total Price (Euro) (year 2019)</t>
  </si>
  <si>
    <t>Trend for battery decreasing prices (% of yearly decreasing)</t>
  </si>
  <si>
    <t>Source: REA 2016</t>
  </si>
  <si>
    <t>B (Size: 12 kWh)</t>
  </si>
  <si>
    <t>C (Size: around 70 kWh)</t>
  </si>
  <si>
    <t>Size (kWh)</t>
  </si>
  <si>
    <t>Black</t>
  </si>
  <si>
    <t>From the model</t>
  </si>
  <si>
    <t>MODEL</t>
  </si>
  <si>
    <t>DSF-SE</t>
  </si>
  <si>
    <t>LINKS or PROFESSIONAL USER</t>
  </si>
  <si>
    <t>PROFESSIONAL USER</t>
  </si>
  <si>
    <t>Losses</t>
  </si>
  <si>
    <t>Price of Energy (Eur/kWh)</t>
  </si>
  <si>
    <t>Number of houses</t>
  </si>
  <si>
    <t>PV penetration (kWp)</t>
  </si>
  <si>
    <t>Losses cost Scenario 2 (Eur)</t>
  </si>
  <si>
    <t>Losses cost Scenario 0 (Eur)</t>
  </si>
  <si>
    <t>OpEx Scenario 0 (Eur)</t>
  </si>
  <si>
    <t>OpEx Scenario 2 (Eur)</t>
  </si>
  <si>
    <t>Losses Scenario 0 (kWh per year)</t>
  </si>
  <si>
    <t>Losses Scenario 2 (kWh per year)</t>
  </si>
  <si>
    <t>ENIIG/LINKS</t>
  </si>
  <si>
    <t>LINKS/LiBAL</t>
  </si>
  <si>
    <t>INPUTS from:</t>
  </si>
  <si>
    <t>Cost of capital (i.e., interest rate)</t>
  </si>
  <si>
    <t>CapEx Senario 0 (Eur)</t>
  </si>
  <si>
    <t>CapEx Scenario 2 (Eur)</t>
  </si>
  <si>
    <t>Equivalent PV penetration Scenario 2 (KwP)</t>
  </si>
  <si>
    <t>a3</t>
  </si>
  <si>
    <t>Total Cost for DSO</t>
  </si>
  <si>
    <t>a4</t>
  </si>
  <si>
    <t>DSO</t>
  </si>
  <si>
    <t>PROSUMER</t>
  </si>
  <si>
    <t>TCO Community</t>
  </si>
  <si>
    <t>TCO DSO</t>
  </si>
  <si>
    <t>no</t>
  </si>
  <si>
    <t>HLUC-3-PUC-1 Grid Strengthening</t>
  </si>
  <si>
    <t>HLUC-3-PUC-2  Substation ESS</t>
  </si>
  <si>
    <t>HLUC-3-PUC-3  BESS</t>
  </si>
  <si>
    <t>Scenairo 0</t>
  </si>
  <si>
    <t>Scenairo 1</t>
  </si>
  <si>
    <t>Scenairo 2</t>
  </si>
  <si>
    <t>Scenairo 3</t>
  </si>
  <si>
    <t>Output</t>
  </si>
  <si>
    <t>ecc.</t>
  </si>
  <si>
    <t>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</si>
</sst>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_-* #,##0.0\ _€_-;\-* #,##0.0\ _€_-;_-* &quot;-&quot;??\ _€_-;_-@_-"/>
    <numFmt numFmtId="166" formatCode="_-* #,##0.0000\ _€_-;\-* #,##0.0000\ _€_-;_-* &quot;-&quot;??\ _€_-;_-@_-"/>
  </numFmts>
  <fonts count="1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2"/>
      <color theme="8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4">
    <xf numFmtId="0" fontId="0" fillId="0" borderId="0" xfId="0"/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0" fontId="0" fillId="2" borderId="0" xfId="0" applyFill="1"/>
    <xf numFmtId="0" fontId="0" fillId="3" borderId="0" xfId="0" applyFill="1" applyAlignment="1">
      <alignment horizontal="left" indent="1"/>
    </xf>
    <xf numFmtId="0" fontId="4" fillId="4" borderId="0" xfId="0" applyFont="1" applyFill="1"/>
    <xf numFmtId="0" fontId="0" fillId="4" borderId="0" xfId="0" applyFill="1"/>
    <xf numFmtId="9" fontId="0" fillId="4" borderId="0" xfId="2" applyFont="1" applyFill="1"/>
    <xf numFmtId="164" fontId="0" fillId="0" borderId="0" xfId="1" applyNumberFormat="1" applyFont="1"/>
    <xf numFmtId="164" fontId="0" fillId="2" borderId="0" xfId="1" applyNumberFormat="1" applyFont="1" applyFill="1"/>
    <xf numFmtId="164" fontId="0" fillId="3" borderId="0" xfId="1" applyNumberFormat="1" applyFont="1" applyFill="1"/>
    <xf numFmtId="164" fontId="0" fillId="4" borderId="0" xfId="1" applyNumberFormat="1" applyFont="1" applyFill="1"/>
    <xf numFmtId="164" fontId="0" fillId="0" borderId="0" xfId="0" applyNumberFormat="1"/>
    <xf numFmtId="0" fontId="4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3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164" fontId="0" fillId="0" borderId="0" xfId="1" applyNumberFormat="1" applyFont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horizontal="right" vertical="top" wrapText="1"/>
    </xf>
    <xf numFmtId="0" fontId="4" fillId="0" borderId="0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6" fillId="0" borderId="0" xfId="0" applyFont="1" applyBorder="1" applyAlignment="1">
      <alignment vertical="top" wrapText="1"/>
    </xf>
    <xf numFmtId="0" fontId="6" fillId="0" borderId="5" xfId="0" applyFont="1" applyBorder="1" applyAlignment="1">
      <alignment vertical="top" wrapText="1"/>
    </xf>
    <xf numFmtId="164" fontId="6" fillId="0" borderId="0" xfId="1" applyNumberFormat="1" applyFont="1" applyBorder="1" applyAlignment="1">
      <alignment vertical="top" wrapText="1"/>
    </xf>
    <xf numFmtId="0" fontId="0" fillId="0" borderId="6" xfId="0" applyBorder="1" applyAlignment="1">
      <alignment horizontal="right" vertical="top" wrapText="1"/>
    </xf>
    <xf numFmtId="0" fontId="6" fillId="0" borderId="7" xfId="0" applyFont="1" applyBorder="1" applyAlignment="1">
      <alignment vertical="top" wrapText="1"/>
    </xf>
    <xf numFmtId="0" fontId="6" fillId="0" borderId="8" xfId="0" applyFont="1" applyBorder="1" applyAlignment="1">
      <alignment vertical="top" wrapText="1"/>
    </xf>
    <xf numFmtId="0" fontId="4" fillId="7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0" fillId="7" borderId="0" xfId="0" applyFill="1"/>
    <xf numFmtId="0" fontId="0" fillId="8" borderId="0" xfId="0" applyFill="1"/>
    <xf numFmtId="1" fontId="0" fillId="8" borderId="0" xfId="0" applyNumberFormat="1" applyFill="1"/>
    <xf numFmtId="0" fontId="4" fillId="9" borderId="0" xfId="0" applyFont="1" applyFill="1" applyAlignment="1">
      <alignment horizontal="center"/>
    </xf>
    <xf numFmtId="0" fontId="0" fillId="9" borderId="0" xfId="0" applyFill="1"/>
    <xf numFmtId="0" fontId="5" fillId="10" borderId="0" xfId="0" applyFont="1" applyFill="1"/>
    <xf numFmtId="10" fontId="5" fillId="10" borderId="0" xfId="2" applyNumberFormat="1" applyFont="1" applyFill="1"/>
    <xf numFmtId="10" fontId="4" fillId="7" borderId="0" xfId="2" applyNumberFormat="1" applyFont="1" applyFill="1"/>
    <xf numFmtId="10" fontId="4" fillId="9" borderId="0" xfId="2" applyNumberFormat="1" applyFont="1" applyFill="1"/>
    <xf numFmtId="10" fontId="4" fillId="8" borderId="0" xfId="2" applyNumberFormat="1" applyFont="1" applyFill="1"/>
    <xf numFmtId="0" fontId="4" fillId="11" borderId="0" xfId="0" applyFont="1" applyFill="1"/>
    <xf numFmtId="164" fontId="4" fillId="11" borderId="0" xfId="0" applyNumberFormat="1" applyFont="1" applyFill="1"/>
    <xf numFmtId="0" fontId="3" fillId="9" borderId="0" xfId="0" applyFont="1" applyFill="1"/>
    <xf numFmtId="164" fontId="0" fillId="7" borderId="0" xfId="1" applyNumberFormat="1" applyFont="1" applyFill="1"/>
    <xf numFmtId="164" fontId="3" fillId="9" borderId="0" xfId="1" applyNumberFormat="1" applyFont="1" applyFill="1"/>
    <xf numFmtId="164" fontId="0" fillId="9" borderId="0" xfId="1" applyNumberFormat="1" applyFont="1" applyFill="1"/>
    <xf numFmtId="10" fontId="0" fillId="7" borderId="0" xfId="2" applyNumberFormat="1" applyFont="1" applyFill="1"/>
    <xf numFmtId="10" fontId="0" fillId="9" borderId="0" xfId="2" applyNumberFormat="1" applyFont="1" applyFill="1"/>
    <xf numFmtId="164" fontId="0" fillId="8" borderId="0" xfId="1" applyNumberFormat="1" applyFont="1" applyFill="1"/>
    <xf numFmtId="10" fontId="0" fillId="0" borderId="0" xfId="2" applyNumberFormat="1" applyFont="1"/>
    <xf numFmtId="0" fontId="4" fillId="0" borderId="1" xfId="0" applyFont="1" applyBorder="1" applyAlignment="1">
      <alignment vertical="top" wrapText="1"/>
    </xf>
    <xf numFmtId="164" fontId="9" fillId="0" borderId="0" xfId="1" applyNumberFormat="1" applyFont="1" applyBorder="1" applyAlignment="1">
      <alignment vertical="top" wrapText="1"/>
    </xf>
    <xf numFmtId="164" fontId="9" fillId="0" borderId="5" xfId="1" applyNumberFormat="1" applyFont="1" applyBorder="1" applyAlignment="1">
      <alignment vertical="top" wrapText="1"/>
    </xf>
    <xf numFmtId="164" fontId="0" fillId="0" borderId="2" xfId="1" applyNumberFormat="1" applyFont="1" applyBorder="1" applyAlignment="1">
      <alignment vertical="top" wrapText="1"/>
    </xf>
    <xf numFmtId="10" fontId="8" fillId="0" borderId="4" xfId="2" applyNumberFormat="1" applyFont="1" applyBorder="1" applyAlignment="1">
      <alignment vertical="top" wrapText="1"/>
    </xf>
    <xf numFmtId="9" fontId="7" fillId="0" borderId="0" xfId="2" applyFont="1" applyBorder="1" applyAlignment="1">
      <alignment vertical="top" wrapText="1"/>
    </xf>
    <xf numFmtId="0" fontId="8" fillId="0" borderId="5" xfId="0" applyFont="1" applyBorder="1" applyAlignment="1">
      <alignment vertical="top" wrapText="1"/>
    </xf>
    <xf numFmtId="0" fontId="0" fillId="0" borderId="4" xfId="0" applyBorder="1" applyAlignment="1">
      <alignment vertical="top" wrapText="1"/>
    </xf>
    <xf numFmtId="164" fontId="0" fillId="0" borderId="0" xfId="1" applyNumberFormat="1" applyFont="1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6" fillId="0" borderId="4" xfId="0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164" fontId="0" fillId="0" borderId="7" xfId="1" applyNumberFormat="1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164" fontId="6" fillId="0" borderId="2" xfId="1" applyNumberFormat="1" applyFont="1" applyBorder="1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9" fillId="0" borderId="8" xfId="0" applyFont="1" applyBorder="1" applyAlignment="1">
      <alignment vertical="top" wrapText="1"/>
    </xf>
    <xf numFmtId="9" fontId="0" fillId="0" borderId="0" xfId="0" applyNumberFormat="1"/>
    <xf numFmtId="164" fontId="0" fillId="3" borderId="0" xfId="1" applyNumberFormat="1" applyFont="1" applyFill="1" applyAlignment="1">
      <alignment horizontal="right"/>
    </xf>
    <xf numFmtId="165" fontId="0" fillId="3" borderId="0" xfId="1" applyNumberFormat="1" applyFont="1" applyFill="1" applyAlignment="1">
      <alignment horizontal="right"/>
    </xf>
    <xf numFmtId="166" fontId="0" fillId="3" borderId="0" xfId="1" applyNumberFormat="1" applyFont="1" applyFill="1" applyAlignment="1">
      <alignment horizontal="right"/>
    </xf>
    <xf numFmtId="0" fontId="0" fillId="0" borderId="4" xfId="0" applyBorder="1"/>
    <xf numFmtId="0" fontId="0" fillId="0" borderId="0" xfId="0" applyBorder="1"/>
    <xf numFmtId="164" fontId="0" fillId="5" borderId="0" xfId="1" applyNumberFormat="1" applyFont="1" applyFill="1" applyBorder="1"/>
    <xf numFmtId="164" fontId="0" fillId="6" borderId="0" xfId="1" applyNumberFormat="1" applyFont="1" applyFill="1" applyBorder="1"/>
    <xf numFmtId="164" fontId="0" fillId="2" borderId="0" xfId="1" applyNumberFormat="1" applyFont="1" applyFill="1" applyBorder="1"/>
    <xf numFmtId="43" fontId="0" fillId="2" borderId="0" xfId="0" applyNumberFormat="1" applyFill="1" applyBorder="1"/>
    <xf numFmtId="0" fontId="0" fillId="3" borderId="0" xfId="0" applyFill="1" applyBorder="1"/>
    <xf numFmtId="0" fontId="0" fillId="3" borderId="5" xfId="0" applyFill="1" applyBorder="1"/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164" fontId="0" fillId="5" borderId="7" xfId="1" applyNumberFormat="1" applyFont="1" applyFill="1" applyBorder="1"/>
    <xf numFmtId="164" fontId="4" fillId="0" borderId="7" xfId="0" applyNumberFormat="1" applyFont="1" applyBorder="1"/>
    <xf numFmtId="164" fontId="4" fillId="6" borderId="7" xfId="0" applyNumberFormat="1" applyFont="1" applyFill="1" applyBorder="1"/>
    <xf numFmtId="164" fontId="4" fillId="2" borderId="7" xfId="0" applyNumberFormat="1" applyFont="1" applyFill="1" applyBorder="1"/>
    <xf numFmtId="164" fontId="4" fillId="0" borderId="8" xfId="0" applyNumberFormat="1" applyFont="1" applyBorder="1"/>
    <xf numFmtId="43" fontId="0" fillId="0" borderId="0" xfId="1" applyFont="1"/>
    <xf numFmtId="0" fontId="0" fillId="0" borderId="0" xfId="0" applyFill="1"/>
    <xf numFmtId="0" fontId="4" fillId="0" borderId="0" xfId="0" applyFont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164" fontId="0" fillId="0" borderId="4" xfId="1" applyNumberFormat="1" applyFont="1" applyBorder="1"/>
    <xf numFmtId="164" fontId="0" fillId="0" borderId="0" xfId="1" applyNumberFormat="1" applyFont="1" applyFill="1" applyBorder="1"/>
    <xf numFmtId="164" fontId="0" fillId="0" borderId="0" xfId="1" applyNumberFormat="1" applyFont="1" applyBorder="1"/>
    <xf numFmtId="164" fontId="0" fillId="0" borderId="5" xfId="1" applyNumberFormat="1" applyFont="1" applyBorder="1"/>
    <xf numFmtId="0" fontId="0" fillId="0" borderId="0" xfId="0" applyFill="1" applyBorder="1"/>
    <xf numFmtId="0" fontId="0" fillId="0" borderId="5" xfId="0" applyFill="1" applyBorder="1"/>
    <xf numFmtId="164" fontId="0" fillId="0" borderId="6" xfId="0" applyNumberFormat="1" applyBorder="1"/>
    <xf numFmtId="164" fontId="4" fillId="0" borderId="7" xfId="0" applyNumberFormat="1" applyFont="1" applyFill="1" applyBorder="1"/>
    <xf numFmtId="164" fontId="2" fillId="0" borderId="7" xfId="0" applyNumberFormat="1" applyFont="1" applyFill="1" applyBorder="1"/>
    <xf numFmtId="164" fontId="4" fillId="0" borderId="8" xfId="0" applyNumberFormat="1" applyFont="1" applyFill="1" applyBorder="1"/>
    <xf numFmtId="0" fontId="4" fillId="11" borderId="0" xfId="0" applyFont="1" applyFill="1" applyAlignment="1">
      <alignment wrapText="1"/>
    </xf>
    <xf numFmtId="10" fontId="8" fillId="0" borderId="1" xfId="2" applyNumberFormat="1" applyFont="1" applyBorder="1" applyAlignment="1">
      <alignment vertical="top" wrapText="1"/>
    </xf>
    <xf numFmtId="0" fontId="8" fillId="0" borderId="3" xfId="0" applyFont="1" applyBorder="1" applyAlignment="1">
      <alignment vertical="top" wrapText="1"/>
    </xf>
    <xf numFmtId="10" fontId="8" fillId="0" borderId="0" xfId="2" applyNumberFormat="1" applyFont="1" applyBorder="1" applyAlignment="1">
      <alignment vertical="top" wrapText="1"/>
    </xf>
    <xf numFmtId="0" fontId="8" fillId="0" borderId="0" xfId="0" applyFont="1" applyBorder="1" applyAlignment="1">
      <alignment horizontal="right" vertical="top" wrapText="1"/>
    </xf>
    <xf numFmtId="10" fontId="8" fillId="0" borderId="6" xfId="2" applyNumberFormat="1" applyFont="1" applyBorder="1" applyAlignment="1">
      <alignment vertical="top" wrapText="1"/>
    </xf>
    <xf numFmtId="0" fontId="8" fillId="0" borderId="7" xfId="0" applyFont="1" applyBorder="1" applyAlignment="1">
      <alignment horizontal="right" vertical="top" wrapText="1"/>
    </xf>
    <xf numFmtId="0" fontId="8" fillId="0" borderId="8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9" fontId="3" fillId="12" borderId="0" xfId="0" applyNumberFormat="1" applyFont="1" applyFill="1" applyBorder="1" applyAlignment="1">
      <alignment vertical="top" wrapText="1"/>
    </xf>
    <xf numFmtId="0" fontId="3" fillId="12" borderId="2" xfId="0" applyFont="1" applyFill="1" applyBorder="1" applyAlignment="1">
      <alignment vertical="top" wrapText="1"/>
    </xf>
    <xf numFmtId="0" fontId="0" fillId="12" borderId="0" xfId="0" applyFill="1"/>
    <xf numFmtId="164" fontId="0" fillId="12" borderId="0" xfId="1" applyNumberFormat="1" applyFont="1" applyFill="1"/>
    <xf numFmtId="0" fontId="3" fillId="0" borderId="1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7" fillId="0" borderId="5" xfId="0" applyFont="1" applyBorder="1" applyAlignment="1">
      <alignment vertical="top" wrapText="1"/>
    </xf>
    <xf numFmtId="0" fontId="4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4" fillId="11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</cellXfs>
  <cellStyles count="3">
    <cellStyle name="Migliaia" xfId="1" builtinId="3"/>
    <cellStyle name="Normale" xfId="0" builtinId="0"/>
    <cellStyle name="Percentual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</a:t>
            </a:r>
            <a:r>
              <a:rPr lang="en-US" baseline="0"/>
              <a:t> penetration regression </a:t>
            </a:r>
            <a:r>
              <a:rPr lang="en-US"/>
              <a:t>G.S.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'Input regression PV'!$B$3:$B$9</c:f>
              <c:numCache>
                <c:formatCode>General</c:formatCode>
                <c:ptCount val="7"/>
                <c:pt idx="0">
                  <c:v>0</c:v>
                </c:pt>
                <c:pt idx="1">
                  <c:v>36</c:v>
                </c:pt>
                <c:pt idx="2">
                  <c:v>96</c:v>
                </c:pt>
                <c:pt idx="3">
                  <c:v>111</c:v>
                </c:pt>
                <c:pt idx="4">
                  <c:v>126</c:v>
                </c:pt>
                <c:pt idx="5">
                  <c:v>141</c:v>
                </c:pt>
                <c:pt idx="6">
                  <c:v>150</c:v>
                </c:pt>
              </c:numCache>
            </c:numRef>
          </c:xVal>
          <c:yVal>
            <c:numRef>
              <c:f>'Input regression PV'!$C$3:$C$9</c:f>
              <c:numCache>
                <c:formatCode>_-* #,##0\ _€_-;\-* #,##0\ _€_-;_-* "-"??\ _€_-;_-@_-</c:formatCode>
                <c:ptCount val="7"/>
                <c:pt idx="0">
                  <c:v>0</c:v>
                </c:pt>
                <c:pt idx="1">
                  <c:v>27300</c:v>
                </c:pt>
                <c:pt idx="2">
                  <c:v>9850</c:v>
                </c:pt>
                <c:pt idx="3">
                  <c:v>21000</c:v>
                </c:pt>
                <c:pt idx="4">
                  <c:v>41600</c:v>
                </c:pt>
                <c:pt idx="5">
                  <c:v>43100</c:v>
                </c:pt>
                <c:pt idx="6">
                  <c:v>47500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1B-7145-8F30-5F0C28F6B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817247"/>
        <c:axId val="616029919"/>
      </c:scatterChart>
      <c:valAx>
        <c:axId val="615817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kWp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6029919"/>
        <c:crosses val="autoZero"/>
        <c:crossBetween val="midCat"/>
      </c:valAx>
      <c:valAx>
        <c:axId val="61602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Cost for</a:t>
                </a:r>
                <a:r>
                  <a:rPr lang="it-IT" baseline="0"/>
                  <a:t> G.S.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_-* #,##0\ _€_-;\-* #,##0\ _€_-;_-* &quot;-&quot;??\ _€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5817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Comparison</a:t>
            </a:r>
            <a:r>
              <a:rPr lang="it-IT" baseline="0"/>
              <a:t> between PV penetration and Equivalent PV penetration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'Input regression PV'!$D$17</c:f>
              <c:strCache>
                <c:ptCount val="1"/>
                <c:pt idx="0">
                  <c:v>G.S. cost for PV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'Input regression PV'!$D$18:$D$168</c:f>
              <c:numCache>
                <c:formatCode>_-* #,##0\ _€_-;\-* #,##0\ _€_-;_-* "-"??\ _€_-;_-@_-</c:formatCode>
                <c:ptCount val="151"/>
                <c:pt idx="0">
                  <c:v>24.425999999999998</c:v>
                </c:pt>
                <c:pt idx="1">
                  <c:v>2928.6095999999998</c:v>
                </c:pt>
                <c:pt idx="2">
                  <c:v>5656.4971999999998</c:v>
                </c:pt>
                <c:pt idx="3">
                  <c:v>8213.3454000000002</c:v>
                </c:pt>
                <c:pt idx="4">
                  <c:v>10604.346</c:v>
                </c:pt>
                <c:pt idx="5">
                  <c:v>12834.626</c:v>
                </c:pt>
                <c:pt idx="6">
                  <c:v>14909.247599999999</c:v>
                </c:pt>
                <c:pt idx="7">
                  <c:v>16833.208200000001</c:v>
                </c:pt>
                <c:pt idx="8">
                  <c:v>18611.440399999999</c:v>
                </c:pt>
                <c:pt idx="9">
                  <c:v>20248.811999999998</c:v>
                </c:pt>
                <c:pt idx="10">
                  <c:v>21750.126</c:v>
                </c:pt>
                <c:pt idx="11">
                  <c:v>23120.120600000002</c:v>
                </c:pt>
                <c:pt idx="12">
                  <c:v>24363.4692</c:v>
                </c:pt>
                <c:pt idx="13">
                  <c:v>25484.780399999996</c:v>
                </c:pt>
                <c:pt idx="14">
                  <c:v>26488.598000000002</c:v>
                </c:pt>
                <c:pt idx="15">
                  <c:v>27379.401000000002</c:v>
                </c:pt>
                <c:pt idx="16">
                  <c:v>28161.603599999999</c:v>
                </c:pt>
                <c:pt idx="17">
                  <c:v>28839.555199999999</c:v>
                </c:pt>
                <c:pt idx="18">
                  <c:v>29417.540399999994</c:v>
                </c:pt>
                <c:pt idx="19">
                  <c:v>29899.779000000002</c:v>
                </c:pt>
                <c:pt idx="20">
                  <c:v>30290.425999999999</c:v>
                </c:pt>
                <c:pt idx="21">
                  <c:v>30593.571600000003</c:v>
                </c:pt>
                <c:pt idx="22">
                  <c:v>30813.241200000004</c:v>
                </c:pt>
                <c:pt idx="23">
                  <c:v>30953.395400000012</c:v>
                </c:pt>
                <c:pt idx="24">
                  <c:v>31017.93</c:v>
                </c:pt>
                <c:pt idx="25">
                  <c:v>31010.676000000007</c:v>
                </c:pt>
                <c:pt idx="26">
                  <c:v>30935.399599999997</c:v>
                </c:pt>
                <c:pt idx="27">
                  <c:v>30795.802200000009</c:v>
                </c:pt>
                <c:pt idx="28">
                  <c:v>30595.520400000016</c:v>
                </c:pt>
                <c:pt idx="29">
                  <c:v>30338.125999999997</c:v>
                </c:pt>
                <c:pt idx="30">
                  <c:v>30027.126000000011</c:v>
                </c:pt>
                <c:pt idx="31">
                  <c:v>29665.962600000006</c:v>
                </c:pt>
                <c:pt idx="32">
                  <c:v>29258.013200000005</c:v>
                </c:pt>
                <c:pt idx="33">
                  <c:v>28806.590400000012</c:v>
                </c:pt>
                <c:pt idx="34">
                  <c:v>28314.94200000001</c:v>
                </c:pt>
                <c:pt idx="35">
                  <c:v>27786.251000000011</c:v>
                </c:pt>
                <c:pt idx="36">
                  <c:v>27223.635600000001</c:v>
                </c:pt>
                <c:pt idx="37">
                  <c:v>26630.149200000014</c:v>
                </c:pt>
                <c:pt idx="38">
                  <c:v>26008.780400000003</c:v>
                </c:pt>
                <c:pt idx="39">
                  <c:v>25362.45299999999</c:v>
                </c:pt>
                <c:pt idx="40">
                  <c:v>24694.025999999998</c:v>
                </c:pt>
                <c:pt idx="41">
                  <c:v>24006.293599999997</c:v>
                </c:pt>
                <c:pt idx="42">
                  <c:v>23301.985200000017</c:v>
                </c:pt>
                <c:pt idx="43">
                  <c:v>22583.765400000011</c:v>
                </c:pt>
                <c:pt idx="44">
                  <c:v>21854.234000000004</c:v>
                </c:pt>
                <c:pt idx="45">
                  <c:v>21115.926000000007</c:v>
                </c:pt>
                <c:pt idx="46">
                  <c:v>20371.311600000034</c:v>
                </c:pt>
                <c:pt idx="47">
                  <c:v>19622.79619999999</c:v>
                </c:pt>
                <c:pt idx="48">
                  <c:v>18872.720399999984</c:v>
                </c:pt>
                <c:pt idx="49">
                  <c:v>18123.35999999999</c:v>
                </c:pt>
                <c:pt idx="50">
                  <c:v>17376.926000000007</c:v>
                </c:pt>
                <c:pt idx="51">
                  <c:v>16635.564600000016</c:v>
                </c:pt>
                <c:pt idx="52">
                  <c:v>15901.357199999991</c:v>
                </c:pt>
                <c:pt idx="53">
                  <c:v>15176.320399999982</c:v>
                </c:pt>
                <c:pt idx="54">
                  <c:v>14462.406000000014</c:v>
                </c:pt>
                <c:pt idx="55">
                  <c:v>13761.501000000047</c:v>
                </c:pt>
                <c:pt idx="56">
                  <c:v>13075.427600000028</c:v>
                </c:pt>
                <c:pt idx="57">
                  <c:v>12405.943199999972</c:v>
                </c:pt>
                <c:pt idx="58">
                  <c:v>11754.740399999977</c:v>
                </c:pt>
                <c:pt idx="59">
                  <c:v>11123.447</c:v>
                </c:pt>
                <c:pt idx="60">
                  <c:v>10513.626000000018</c:v>
                </c:pt>
                <c:pt idx="61">
                  <c:v>9926.7756000000154</c:v>
                </c:pt>
                <c:pt idx="62">
                  <c:v>9364.3292000000074</c:v>
                </c:pt>
                <c:pt idx="63">
                  <c:v>8827.6554000000251</c:v>
                </c:pt>
                <c:pt idx="64">
                  <c:v>8318.0580000000045</c:v>
                </c:pt>
                <c:pt idx="65">
                  <c:v>7836.7760000000126</c:v>
                </c:pt>
                <c:pt idx="66">
                  <c:v>7384.9836000000214</c:v>
                </c:pt>
                <c:pt idx="67">
                  <c:v>6963.7902000000322</c:v>
                </c:pt>
                <c:pt idx="68">
                  <c:v>6574.2404000000097</c:v>
                </c:pt>
                <c:pt idx="69">
                  <c:v>6217.3140000000058</c:v>
                </c:pt>
                <c:pt idx="70">
                  <c:v>5893.9260000000068</c:v>
                </c:pt>
                <c:pt idx="71">
                  <c:v>5604.9266000000353</c:v>
                </c:pt>
                <c:pt idx="72">
                  <c:v>5351.1012000000046</c:v>
                </c:pt>
                <c:pt idx="73">
                  <c:v>5133.1704000000318</c:v>
                </c:pt>
                <c:pt idx="74">
                  <c:v>4951.7900000000518</c:v>
                </c:pt>
                <c:pt idx="75">
                  <c:v>4807.5509999999776</c:v>
                </c:pt>
                <c:pt idx="76">
                  <c:v>4700.9795999999624</c:v>
                </c:pt>
                <c:pt idx="77">
                  <c:v>4632.5372000000061</c:v>
                </c:pt>
                <c:pt idx="78">
                  <c:v>4602.6203999999707</c:v>
                </c:pt>
                <c:pt idx="79">
                  <c:v>4611.5610000000597</c:v>
                </c:pt>
                <c:pt idx="80">
                  <c:v>4659.6259999999311</c:v>
                </c:pt>
                <c:pt idx="81">
                  <c:v>4747.0176000000502</c:v>
                </c:pt>
                <c:pt idx="82">
                  <c:v>4873.8731999999727</c:v>
                </c:pt>
                <c:pt idx="83">
                  <c:v>5040.2654000000184</c:v>
                </c:pt>
                <c:pt idx="84">
                  <c:v>5246.2020000000484</c:v>
                </c:pt>
                <c:pt idx="85">
                  <c:v>5491.6260000000475</c:v>
                </c:pt>
                <c:pt idx="86">
                  <c:v>5776.4155999999784</c:v>
                </c:pt>
                <c:pt idx="87">
                  <c:v>6100.3842000000586</c:v>
                </c:pt>
                <c:pt idx="88">
                  <c:v>6463.2803999999596</c:v>
                </c:pt>
                <c:pt idx="89">
                  <c:v>6864.7879999998841</c:v>
                </c:pt>
                <c:pt idx="90">
                  <c:v>7304.5259999999544</c:v>
                </c:pt>
                <c:pt idx="91">
                  <c:v>7782.0485999999219</c:v>
                </c:pt>
                <c:pt idx="92">
                  <c:v>8296.845200000098</c:v>
                </c:pt>
                <c:pt idx="93">
                  <c:v>8848.3404000000155</c:v>
                </c:pt>
                <c:pt idx="94">
                  <c:v>9435.893999999942</c:v>
                </c:pt>
                <c:pt idx="95">
                  <c:v>10058.800999999978</c:v>
                </c:pt>
                <c:pt idx="96">
                  <c:v>10716.29159999988</c:v>
                </c:pt>
                <c:pt idx="97">
                  <c:v>11407.531199999998</c:v>
                </c:pt>
                <c:pt idx="98">
                  <c:v>12131.620399999956</c:v>
                </c:pt>
                <c:pt idx="99">
                  <c:v>12887.594999999943</c:v>
                </c:pt>
                <c:pt idx="100">
                  <c:v>13674.425999999978</c:v>
                </c:pt>
                <c:pt idx="101">
                  <c:v>14491.0196</c:v>
                </c:pt>
                <c:pt idx="102">
                  <c:v>15336.217200000014</c:v>
                </c:pt>
                <c:pt idx="103">
                  <c:v>16208.795399999944</c:v>
                </c:pt>
                <c:pt idx="104">
                  <c:v>17107.465999999898</c:v>
                </c:pt>
                <c:pt idx="105">
                  <c:v>18030.875999999931</c:v>
                </c:pt>
                <c:pt idx="106">
                  <c:v>18977.607599999872</c:v>
                </c:pt>
                <c:pt idx="107">
                  <c:v>19946.178199999966</c:v>
                </c:pt>
                <c:pt idx="108">
                  <c:v>20935.040399999998</c:v>
                </c:pt>
                <c:pt idx="109">
                  <c:v>21942.581999999878</c:v>
                </c:pt>
                <c:pt idx="110">
                  <c:v>22967.126000000164</c:v>
                </c:pt>
                <c:pt idx="111">
                  <c:v>24006.930599999905</c:v>
                </c:pt>
                <c:pt idx="112">
                  <c:v>25060.189199999964</c:v>
                </c:pt>
                <c:pt idx="113">
                  <c:v>26125.030400000047</c:v>
                </c:pt>
                <c:pt idx="114">
                  <c:v>27199.517999999807</c:v>
                </c:pt>
                <c:pt idx="115">
                  <c:v>28281.651000000071</c:v>
                </c:pt>
                <c:pt idx="116">
                  <c:v>29369.363599999866</c:v>
                </c:pt>
                <c:pt idx="117">
                  <c:v>30460.525199999858</c:v>
                </c:pt>
                <c:pt idx="118">
                  <c:v>31552.940399999963</c:v>
                </c:pt>
                <c:pt idx="119">
                  <c:v>32644.348999999813</c:v>
                </c:pt>
                <c:pt idx="120">
                  <c:v>33732.425999999978</c:v>
                </c:pt>
                <c:pt idx="121">
                  <c:v>34814.781600000104</c:v>
                </c:pt>
                <c:pt idx="122">
                  <c:v>35888.961199999903</c:v>
                </c:pt>
                <c:pt idx="123">
                  <c:v>36952.445399999968</c:v>
                </c:pt>
                <c:pt idx="124">
                  <c:v>38002.649999999907</c:v>
                </c:pt>
                <c:pt idx="125">
                  <c:v>39036.925999999978</c:v>
                </c:pt>
                <c:pt idx="126">
                  <c:v>40052.559600000153</c:v>
                </c:pt>
                <c:pt idx="127">
                  <c:v>41046.772200000007</c:v>
                </c:pt>
                <c:pt idx="128">
                  <c:v>42016.720399999991</c:v>
                </c:pt>
                <c:pt idx="129">
                  <c:v>42959.495999999926</c:v>
                </c:pt>
                <c:pt idx="130">
                  <c:v>43872.125999999931</c:v>
                </c:pt>
                <c:pt idx="131">
                  <c:v>44751.572599999607</c:v>
                </c:pt>
                <c:pt idx="132">
                  <c:v>45594.733199999901</c:v>
                </c:pt>
                <c:pt idx="133">
                  <c:v>46398.440399999847</c:v>
                </c:pt>
                <c:pt idx="134">
                  <c:v>47159.462000000058</c:v>
                </c:pt>
                <c:pt idx="135">
                  <c:v>47874.500999999931</c:v>
                </c:pt>
                <c:pt idx="136">
                  <c:v>48540.195599999744</c:v>
                </c:pt>
                <c:pt idx="137">
                  <c:v>49153.119199999725</c:v>
                </c:pt>
                <c:pt idx="138">
                  <c:v>49709.780399999931</c:v>
                </c:pt>
                <c:pt idx="139">
                  <c:v>50206.622999999672</c:v>
                </c:pt>
                <c:pt idx="140">
                  <c:v>50640.025999999838</c:v>
                </c:pt>
                <c:pt idx="141">
                  <c:v>51006.303599999519</c:v>
                </c:pt>
                <c:pt idx="142">
                  <c:v>51301.705199999968</c:v>
                </c:pt>
                <c:pt idx="143">
                  <c:v>51522.415399999823</c:v>
                </c:pt>
                <c:pt idx="144">
                  <c:v>51664.554000000004</c:v>
                </c:pt>
                <c:pt idx="145">
                  <c:v>51724.175999999978</c:v>
                </c:pt>
                <c:pt idx="146">
                  <c:v>51697.271600000095</c:v>
                </c:pt>
                <c:pt idx="147">
                  <c:v>51579.766199999722</c:v>
                </c:pt>
                <c:pt idx="148">
                  <c:v>51367.52040000027</c:v>
                </c:pt>
                <c:pt idx="149">
                  <c:v>51056.329999999609</c:v>
                </c:pt>
                <c:pt idx="150">
                  <c:v>50641.925999999978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9-8141-96E7-3B3361E89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297119"/>
        <c:axId val="667859407"/>
      </c:lineChart>
      <c:catAx>
        <c:axId val="682297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kWp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859407"/>
        <c:crosses val="autoZero"/>
        <c:auto val="0"/>
        <c:lblAlgn val="ctr"/>
        <c:lblOffset val="100"/>
        <c:noMultiLvlLbl val="0"/>
      </c:catAx>
      <c:valAx>
        <c:axId val="66785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Cost for G.S.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_-* #,##0\ _€_-;\-* #,##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229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'Battery cost trend'!$C$1:$D$1</c:f>
              <c:strCache>
                <c:ptCount val="1"/>
                <c:pt idx="0">
                  <c:v>Source: REA 2016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'Battery cost trend'!$C$3:$C$19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'Battery cost trend'!$D$3:$D$19</c:f>
              <c:numCache>
                <c:formatCode>_-* #,##0\ _€_-;\-* #,##0\ _€_-;_-* "-"??\ _€_-;_-@_-</c:formatCode>
                <c:ptCount val="17"/>
                <c:pt idx="0">
                  <c:v>1492.8738586103007</c:v>
                </c:pt>
                <c:pt idx="1">
                  <c:v>1400</c:v>
                </c:pt>
                <c:pt idx="2">
                  <c:v>1307.1261413896993</c:v>
                </c:pt>
                <c:pt idx="3">
                  <c:v>1220.4133925030887</c:v>
                </c:pt>
                <c:pt idx="4">
                  <c:v>1139.4530347449106</c:v>
                </c:pt>
                <c:pt idx="5">
                  <c:v>1063.8634632863557</c:v>
                </c:pt>
                <c:pt idx="6">
                  <c:v>993.28838837926867</c:v>
                </c:pt>
                <c:pt idx="7">
                  <c:v>927.39515599241884</c:v>
                </c:pt>
                <c:pt idx="8">
                  <c:v>865.8731798541919</c:v>
                </c:pt>
                <c:pt idx="9">
                  <c:v>808.43247751117065</c:v>
                </c:pt>
                <c:pt idx="10">
                  <c:v>754.80230350235092</c:v>
                </c:pt>
                <c:pt idx="11">
                  <c:v>704.72987320648906</c:v>
                </c:pt>
                <c:pt idx="12">
                  <c:v>657.97917134746433</c:v>
                </c:pt>
                <c:pt idx="13">
                  <c:v>614.32983954157339</c:v>
                </c:pt>
                <c:pt idx="14">
                  <c:v>573.5761376432356</c:v>
                </c:pt>
                <c:pt idx="15">
                  <c:v>535.5259739934354</c:v>
                </c:pt>
                <c:pt idx="16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A3-9C4A-B27F-B46E3F509053}"/>
            </c:ext>
          </c:extLst>
        </c:ser>
        <c:ser>
          <c:idx val="0"/>
          <c:order val="1"/>
          <c:tx>
            <c:strRef>
              <c:f>'Battery cost trend'!$A$1:$B$1</c:f>
              <c:strCache>
                <c:ptCount val="1"/>
                <c:pt idx="0">
                  <c:v>Source: ICF 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'Battery cost trend'!$C$3:$C$19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'Battery cost trend'!$B$3:$B$13</c:f>
              <c:numCache>
                <c:formatCode>_-* #,##0\ _€_-;\-* #,##0\ _€_-;_-* "-"??\ _€_-;_-@_-</c:formatCode>
                <c:ptCount val="11"/>
                <c:pt idx="0">
                  <c:v>1100</c:v>
                </c:pt>
                <c:pt idx="1">
                  <c:v>1037.0182517702588</c:v>
                </c:pt>
                <c:pt idx="2">
                  <c:v>977.64259500422156</c:v>
                </c:pt>
                <c:pt idx="3">
                  <c:v>921.66655884310626</c:v>
                </c:pt>
                <c:pt idx="4">
                  <c:v>868.89549415144393</c:v>
                </c:pt>
                <c:pt idx="5">
                  <c:v>819.14589665089591</c:v>
                </c:pt>
                <c:pt idx="6">
                  <c:v>772.24476880881195</c:v>
                </c:pt>
                <c:pt idx="7">
                  <c:v>728.02901826258346</c:v>
                </c:pt>
                <c:pt idx="8">
                  <c:v>686.34489068789276</c:v>
                </c:pt>
                <c:pt idx="9">
                  <c:v>647.04743513873439</c:v>
                </c:pt>
                <c:pt idx="10">
                  <c:v>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A3-9C4A-B27F-B46E3F509053}"/>
            </c:ext>
          </c:extLst>
        </c:ser>
        <c:ser>
          <c:idx val="2"/>
          <c:order val="2"/>
          <c:tx>
            <c:strRef>
              <c:f>'Battery cost trend'!$E$1:$F$1</c:f>
              <c:strCache>
                <c:ptCount val="1"/>
                <c:pt idx="0">
                  <c:v>Source: BSW 2017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'Battery cost trend'!$C$3:$C$19</c:f>
              <c:numCache>
                <c:formatCode>General</c:formatCode>
                <c:ptCount val="1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</c:numCache>
            </c:numRef>
          </c:cat>
          <c:val>
            <c:numRef>
              <c:f>'Battery cost trend'!$F$3:$F$7</c:f>
              <c:numCache>
                <c:formatCode>_-* #,##0\ _€_-;\-* #,##0\ _€_-;_-* "-"??\ _€_-;_-@_-</c:formatCode>
                <c:ptCount val="5"/>
                <c:pt idx="0">
                  <c:v>1400</c:v>
                </c:pt>
                <c:pt idx="1">
                  <c:v>1221.7575572712149</c:v>
                </c:pt>
                <c:pt idx="2">
                  <c:v>1066.2082348209472</c:v>
                </c:pt>
                <c:pt idx="3">
                  <c:v>930.46283465521026</c:v>
                </c:pt>
                <c:pt idx="4">
                  <c:v>812.00000000000011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A3-9C4A-B27F-B46E3F509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661360"/>
        <c:axId val="538415808"/>
      </c:lineChart>
      <c:catAx>
        <c:axId val="42366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8415808"/>
        <c:crosses val="autoZero"/>
        <c:auto val="1"/>
        <c:lblAlgn val="ctr"/>
        <c:lblOffset val="100"/>
        <c:noMultiLvlLbl val="0"/>
      </c:catAx>
      <c:valAx>
        <c:axId val="53841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€_-;\-* #,##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366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TCO for DSO -</a:t>
            </a:r>
            <a:r>
              <a:rPr lang="it-IT" baseline="0"/>
              <a:t> Scenario comparison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GRAPH!$C$1</c:f>
              <c:strCache>
                <c:ptCount val="1"/>
                <c:pt idx="0">
                  <c:v>HLUC-3-PUC-1 Grid Strengthening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GRAPH!$C$2:$C$32</c:f>
              <c:numCache>
                <c:formatCode>_-* #,##0\ _€_-;\-* #,##0\ _€_-;_-* "-"??\ _€_-;_-@_-</c:formatCode>
                <c:ptCount val="31"/>
                <c:pt idx="0">
                  <c:v>-27223.635600000001</c:v>
                </c:pt>
                <c:pt idx="1">
                  <c:v>-2807.7440370370373</c:v>
                </c:pt>
                <c:pt idx="2">
                  <c:v>-2599.7629972565155</c:v>
                </c:pt>
                <c:pt idx="3">
                  <c:v>-2407.1879604226997</c:v>
                </c:pt>
                <c:pt idx="4">
                  <c:v>-2228.8777411321289</c:v>
                </c:pt>
                <c:pt idx="5">
                  <c:v>-2063.7756862334527</c:v>
                </c:pt>
                <c:pt idx="6">
                  <c:v>-1910.9034131791227</c:v>
                </c:pt>
                <c:pt idx="7">
                  <c:v>-1769.3550122028914</c:v>
                </c:pt>
                <c:pt idx="8">
                  <c:v>-1638.2916779656402</c:v>
                </c:pt>
                <c:pt idx="9">
                  <c:v>-1516.936738857074</c:v>
                </c:pt>
                <c:pt idx="10">
                  <c:v>-1404.5710544972908</c:v>
                </c:pt>
                <c:pt idx="11">
                  <c:v>-1300.5287541641583</c:v>
                </c:pt>
                <c:pt idx="12">
                  <c:v>-1204.193290892739</c:v>
                </c:pt>
                <c:pt idx="13">
                  <c:v>-1114.9937878636472</c:v>
                </c:pt>
                <c:pt idx="14">
                  <c:v>-1032.4016554293028</c:v>
                </c:pt>
                <c:pt idx="15">
                  <c:v>-955.92745873083584</c:v>
                </c:pt>
                <c:pt idx="16">
                  <c:v>-885.11801734336655</c:v>
                </c:pt>
                <c:pt idx="17">
                  <c:v>-819.55371976237643</c:v>
                </c:pt>
                <c:pt idx="18">
                  <c:v>-758.84603681701515</c:v>
                </c:pt>
                <c:pt idx="19">
                  <c:v>-702.63521927501392</c:v>
                </c:pt>
                <c:pt idx="20">
                  <c:v>-650.58816599538329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F-5145-9369-E674C595E676}"/>
            </c:ext>
          </c:extLst>
        </c:ser>
        <c:ser>
          <c:idx val="0"/>
          <c:order val="1"/>
          <c:tx>
            <c:strRef>
              <c:f>GRAPH!$E$1</c:f>
              <c:strCache>
                <c:ptCount val="1"/>
                <c:pt idx="0">
                  <c:v>HLUC-3-PUC-2  Substation 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GRAPH!$E$2:$E$32</c:f>
              <c:numCache>
                <c:formatCode>_-* #,##0\ _€_-;\-* #,##0\ _€_-;_-* "-"??\ _€_-;_-@_-</c:formatCode>
                <c:ptCount val="31"/>
                <c:pt idx="0">
                  <c:v>-118342.56843004483</c:v>
                </c:pt>
                <c:pt idx="1">
                  <c:v>-4205.7524074074008</c:v>
                </c:pt>
                <c:pt idx="2">
                  <c:v>-3894.2151920438896</c:v>
                </c:pt>
                <c:pt idx="3">
                  <c:v>-3605.754807448046</c:v>
                </c:pt>
                <c:pt idx="4">
                  <c:v>-3338.6618587481903</c:v>
                </c:pt>
                <c:pt idx="5">
                  <c:v>-3091.3535729149912</c:v>
                </c:pt>
                <c:pt idx="6">
                  <c:v>-2862.3644193657324</c:v>
                </c:pt>
                <c:pt idx="7">
                  <c:v>-2650.337425338641</c:v>
                </c:pt>
                <c:pt idx="8">
                  <c:v>-24573.194517395379</c:v>
                </c:pt>
                <c:pt idx="9">
                  <c:v>-2272.2371616414957</c:v>
                </c:pt>
                <c:pt idx="10">
                  <c:v>-2103.9232978161995</c:v>
                </c:pt>
                <c:pt idx="11">
                  <c:v>-1948.0771276075923</c:v>
                </c:pt>
                <c:pt idx="12">
                  <c:v>-1803.7751181551778</c:v>
                </c:pt>
                <c:pt idx="13">
                  <c:v>-1670.1621464399796</c:v>
                </c:pt>
                <c:pt idx="14">
                  <c:v>-1546.4464318888697</c:v>
                </c:pt>
                <c:pt idx="15">
                  <c:v>-1431.8948443415459</c:v>
                </c:pt>
                <c:pt idx="16">
                  <c:v>-7900.2542687656951</c:v>
                </c:pt>
                <c:pt idx="17">
                  <c:v>-1227.6190366439864</c:v>
                </c:pt>
                <c:pt idx="18">
                  <c:v>-1136.6842931888764</c:v>
                </c:pt>
                <c:pt idx="19">
                  <c:v>-1052.4854566563668</c:v>
                </c:pt>
                <c:pt idx="20">
                  <c:v>-974.5235709781175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AF-5145-9369-E674C595E676}"/>
            </c:ext>
          </c:extLst>
        </c:ser>
        <c:ser>
          <c:idx val="2"/>
          <c:order val="2"/>
          <c:tx>
            <c:strRef>
              <c:f>GRAPH!$G$1</c:f>
              <c:strCache>
                <c:ptCount val="1"/>
                <c:pt idx="0">
                  <c:v>HLUC-3-PUC-3  BESS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GRAPH!$G$2:$G$32</c:f>
              <c:numCache>
                <c:formatCode>_-* #,##0\ _€_-;\-* #,##0\ _€_-;_-* "-"??\ _€_-;_-@_-</c:formatCode>
                <c:ptCount val="31"/>
                <c:pt idx="0">
                  <c:v>-43872.125999999931</c:v>
                </c:pt>
                <c:pt idx="1">
                  <c:v>-4205.7524074074008</c:v>
                </c:pt>
                <c:pt idx="2">
                  <c:v>-3894.2151920438896</c:v>
                </c:pt>
                <c:pt idx="3">
                  <c:v>-3605.754807448046</c:v>
                </c:pt>
                <c:pt idx="4">
                  <c:v>-3338.6618587481903</c:v>
                </c:pt>
                <c:pt idx="5">
                  <c:v>-3091.3535729149912</c:v>
                </c:pt>
                <c:pt idx="6">
                  <c:v>-2862.3644193657324</c:v>
                </c:pt>
                <c:pt idx="7">
                  <c:v>-2650.337425338641</c:v>
                </c:pt>
                <c:pt idx="8">
                  <c:v>-2454.0161345728156</c:v>
                </c:pt>
                <c:pt idx="9">
                  <c:v>-2272.2371616414957</c:v>
                </c:pt>
                <c:pt idx="10">
                  <c:v>-2103.9232978161995</c:v>
                </c:pt>
                <c:pt idx="11">
                  <c:v>-1948.0771276075923</c:v>
                </c:pt>
                <c:pt idx="12">
                  <c:v>-1803.7751181551778</c:v>
                </c:pt>
                <c:pt idx="13">
                  <c:v>-1670.1621464399796</c:v>
                </c:pt>
                <c:pt idx="14">
                  <c:v>-1546.4464318888697</c:v>
                </c:pt>
                <c:pt idx="15">
                  <c:v>-1431.8948443415459</c:v>
                </c:pt>
                <c:pt idx="16">
                  <c:v>-1325.8285595755056</c:v>
                </c:pt>
                <c:pt idx="17">
                  <c:v>-1227.6190366439864</c:v>
                </c:pt>
                <c:pt idx="18">
                  <c:v>-1136.6842931888764</c:v>
                </c:pt>
                <c:pt idx="19">
                  <c:v>-1052.4854566563668</c:v>
                </c:pt>
                <c:pt idx="20">
                  <c:v>-974.5235709781175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AF-5145-9369-E674C595E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428391711"/>
        <c:axId val="1428427039"/>
      </c:barChart>
      <c:catAx>
        <c:axId val="1428391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28427039"/>
        <c:crosses val="autoZero"/>
        <c:auto val="1"/>
        <c:lblAlgn val="ctr"/>
        <c:lblOffset val="100"/>
        <c:noMultiLvlLbl val="0"/>
      </c:catAx>
      <c:valAx>
        <c:axId val="1428427039"/>
        <c:scaling>
          <c:orientation val="minMax"/>
        </c:scaling>
        <c:delete val="0"/>
        <c:axPos val="l"/>
        <c:numFmt formatCode="_-* #,##0\ _€_-;\-* #,##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2839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OUTPUT!$R$4</c:f>
              <c:strCache>
                <c:ptCount val="1"/>
                <c:pt idx="0">
                  <c:v>TCO Community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OUTPUT!$S$3:$U$3</c:f>
              <c:strCache>
                <c:ptCount val="3"/>
                <c:pt idx="0">
                  <c:v>HLUC-3-PUC-1 Grid Strengthening</c:v>
                </c:pt>
                <c:pt idx="1">
                  <c:v>HLUC-3-PUC-2  Substation ESS</c:v>
                </c:pt>
                <c:pt idx="2">
                  <c:v>HLUC-3-PUC-3  BESS</c:v>
                </c:pt>
              </c:strCache>
            </c:strRef>
          </c:cat>
          <c:val>
            <c:numRef>
              <c:f>OUTPUT!$S$4:$U$4</c:f>
              <c:numCache>
                <c:formatCode>_-* #,##0\ _€_-;\-* #,##0\ _€_-;_-* "-"??\ _€_-;_-@_-</c:formatCode>
                <c:ptCount val="3"/>
                <c:pt idx="0">
                  <c:v>60039.453721366976</c:v>
                </c:pt>
                <c:pt idx="1">
                  <c:v>193154.09823298565</c:v>
                </c:pt>
                <c:pt idx="2">
                  <c:v>259976.90586770058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5A-C34B-AD69-7A3CB812BABF}"/>
            </c:ext>
          </c:extLst>
        </c:ser>
        <c:ser>
          <c:idx val="1"/>
          <c:order val="1"/>
          <c:tx>
            <c:strRef>
              <c:f>OUTPUT!$R$5</c:f>
              <c:strCache>
                <c:ptCount val="1"/>
                <c:pt idx="0">
                  <c:v>TCO DSO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OUTPUT!$S$3:$U$3</c:f>
              <c:strCache>
                <c:ptCount val="3"/>
                <c:pt idx="0">
                  <c:v>HLUC-3-PUC-1 Grid Strengthening</c:v>
                </c:pt>
                <c:pt idx="1">
                  <c:v>HLUC-3-PUC-2  Substation ESS</c:v>
                </c:pt>
                <c:pt idx="2">
                  <c:v>HLUC-3-PUC-3  BESS</c:v>
                </c:pt>
              </c:strCache>
            </c:strRef>
          </c:cat>
          <c:val>
            <c:numRef>
              <c:f>OUTPUT!$S$5:$U$5</c:f>
              <c:numCache>
                <c:formatCode>_-* #,##0\ _€_-;\-* #,##0\ _€_-;_-* "-"??\ _€_-;_-@_-</c:formatCode>
                <c:ptCount val="3"/>
                <c:pt idx="0">
                  <c:v>56995.828025057694</c:v>
                </c:pt>
                <c:pt idx="1">
                  <c:v>191632.28538483102</c:v>
                </c:pt>
                <c:pt idx="2">
                  <c:v>88468.238862773331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5A-C34B-AD69-7A3CB812BA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56104736"/>
        <c:axId val="556626992"/>
        <c:axId val="0"/>
      </c:bar3DChart>
      <c:catAx>
        <c:axId val="55610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6626992"/>
        <c:crosses val="autoZero"/>
        <c:auto val="1"/>
        <c:lblAlgn val="ctr"/>
        <c:lblOffset val="100"/>
        <c:noMultiLvlLbl val="0"/>
      </c:catAx>
      <c:valAx>
        <c:axId val="5566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€_-;\-* #,##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610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OUTPUT!$R$4</c:f>
              <c:strCache>
                <c:ptCount val="1"/>
                <c:pt idx="0">
                  <c:v>TCO Community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OUTPUT!$S$3:$U$3</c:f>
              <c:strCache>
                <c:ptCount val="3"/>
                <c:pt idx="0">
                  <c:v>HLUC-3-PUC-1 Grid Strengthening</c:v>
                </c:pt>
                <c:pt idx="1">
                  <c:v>HLUC-3-PUC-2  Substation ESS</c:v>
                </c:pt>
                <c:pt idx="2">
                  <c:v>HLUC-3-PUC-3  BESS</c:v>
                </c:pt>
              </c:strCache>
            </c:strRef>
          </c:cat>
          <c:val>
            <c:numRef>
              <c:f>OUTPUT!$S$4:$U$4</c:f>
              <c:numCache>
                <c:formatCode>_-* #,##0\ _€_-;\-* #,##0\ _€_-;_-* "-"??\ _€_-;_-@_-</c:formatCode>
                <c:ptCount val="3"/>
                <c:pt idx="0">
                  <c:v>60039.453721366976</c:v>
                </c:pt>
                <c:pt idx="1">
                  <c:v>193154.09823298565</c:v>
                </c:pt>
                <c:pt idx="2">
                  <c:v>259976.90586770058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3-8A4C-8F10-0B6304A0B2AB}"/>
            </c:ext>
          </c:extLst>
        </c:ser>
        <c:ser>
          <c:idx val="1"/>
          <c:order val="1"/>
          <c:tx>
            <c:strRef>
              <c:f>OUTPUT!$R$5</c:f>
              <c:strCache>
                <c:ptCount val="1"/>
                <c:pt idx="0">
                  <c:v>TCO DSO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OUTPUT!$S$3:$U$3</c:f>
              <c:strCache>
                <c:ptCount val="3"/>
                <c:pt idx="0">
                  <c:v>HLUC-3-PUC-1 Grid Strengthening</c:v>
                </c:pt>
                <c:pt idx="1">
                  <c:v>HLUC-3-PUC-2  Substation ESS</c:v>
                </c:pt>
                <c:pt idx="2">
                  <c:v>HLUC-3-PUC-3  BESS</c:v>
                </c:pt>
              </c:strCache>
            </c:strRef>
          </c:cat>
          <c:val>
            <c:numRef>
              <c:f>OUTPUT!$S$5:$U$5</c:f>
              <c:numCache>
                <c:formatCode>_-* #,##0\ _€_-;\-* #,##0\ _€_-;_-* "-"??\ _€_-;_-@_-</c:formatCode>
                <c:ptCount val="3"/>
                <c:pt idx="0">
                  <c:v>56995.828025057694</c:v>
                </c:pt>
                <c:pt idx="1">
                  <c:v>191632.28538483102</c:v>
                </c:pt>
                <c:pt idx="2">
                  <c:v>88468.238862773331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E3-8A4C-8F10-0B6304A0B2A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56104736"/>
        <c:axId val="556626992"/>
        <c:axId val="0"/>
      </c:bar3DChart>
      <c:catAx>
        <c:axId val="55610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6626992"/>
        <c:crosses val="autoZero"/>
        <c:auto val="1"/>
        <c:lblAlgn val="ctr"/>
        <c:lblOffset val="100"/>
        <c:noMultiLvlLbl val="0"/>
      </c:catAx>
      <c:valAx>
        <c:axId val="5566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€_-;\-* #,##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610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TCO - Scenario comparison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GRAPH!$C$1</c:f>
              <c:strCache>
                <c:ptCount val="1"/>
                <c:pt idx="0">
                  <c:v>HLUC-3-PUC-1 Grid Strengthening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GRAPH!$C$2:$C$32</c:f>
              <c:numCache>
                <c:formatCode>_-* #,##0\ _€_-;\-* #,##0\ _€_-;_-* "-"??\ _€_-;_-@_-</c:formatCode>
                <c:ptCount val="31"/>
                <c:pt idx="0">
                  <c:v>-27223.635600000001</c:v>
                </c:pt>
                <c:pt idx="1">
                  <c:v>-2807.7440370370373</c:v>
                </c:pt>
                <c:pt idx="2">
                  <c:v>-2599.7629972565155</c:v>
                </c:pt>
                <c:pt idx="3">
                  <c:v>-2407.1879604226997</c:v>
                </c:pt>
                <c:pt idx="4">
                  <c:v>-2228.8777411321289</c:v>
                </c:pt>
                <c:pt idx="5">
                  <c:v>-2063.7756862334527</c:v>
                </c:pt>
                <c:pt idx="6">
                  <c:v>-1910.9034131791227</c:v>
                </c:pt>
                <c:pt idx="7">
                  <c:v>-1769.3550122028914</c:v>
                </c:pt>
                <c:pt idx="8">
                  <c:v>-1638.2916779656402</c:v>
                </c:pt>
                <c:pt idx="9">
                  <c:v>-1516.936738857074</c:v>
                </c:pt>
                <c:pt idx="10">
                  <c:v>-1404.5710544972908</c:v>
                </c:pt>
                <c:pt idx="11">
                  <c:v>-1300.5287541641583</c:v>
                </c:pt>
                <c:pt idx="12">
                  <c:v>-1204.193290892739</c:v>
                </c:pt>
                <c:pt idx="13">
                  <c:v>-1114.9937878636472</c:v>
                </c:pt>
                <c:pt idx="14">
                  <c:v>-1032.4016554293028</c:v>
                </c:pt>
                <c:pt idx="15">
                  <c:v>-955.92745873083584</c:v>
                </c:pt>
                <c:pt idx="16">
                  <c:v>-885.11801734336655</c:v>
                </c:pt>
                <c:pt idx="17">
                  <c:v>-819.55371976237643</c:v>
                </c:pt>
                <c:pt idx="18">
                  <c:v>-758.84603681701515</c:v>
                </c:pt>
                <c:pt idx="19">
                  <c:v>-702.63521927501392</c:v>
                </c:pt>
                <c:pt idx="20">
                  <c:v>-650.58816599538329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72-BC45-8815-AE19FE0A58DA}"/>
            </c:ext>
          </c:extLst>
        </c:ser>
        <c:ser>
          <c:idx val="0"/>
          <c:order val="1"/>
          <c:tx>
            <c:strRef>
              <c:f>GRAPH!$E$1</c:f>
              <c:strCache>
                <c:ptCount val="1"/>
                <c:pt idx="0">
                  <c:v>HLUC-3-PUC-2  Substation 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GRAPH!$E$2:$E$32</c:f>
              <c:numCache>
                <c:formatCode>_-* #,##0\ _€_-;\-* #,##0\ _€_-;_-* "-"??\ _€_-;_-@_-</c:formatCode>
                <c:ptCount val="31"/>
                <c:pt idx="0">
                  <c:v>-118342.56843004483</c:v>
                </c:pt>
                <c:pt idx="1">
                  <c:v>-4205.7524074074008</c:v>
                </c:pt>
                <c:pt idx="2">
                  <c:v>-3894.2151920438896</c:v>
                </c:pt>
                <c:pt idx="3">
                  <c:v>-3605.754807448046</c:v>
                </c:pt>
                <c:pt idx="4">
                  <c:v>-3338.6618587481903</c:v>
                </c:pt>
                <c:pt idx="5">
                  <c:v>-3091.3535729149912</c:v>
                </c:pt>
                <c:pt idx="6">
                  <c:v>-2862.3644193657324</c:v>
                </c:pt>
                <c:pt idx="7">
                  <c:v>-2650.337425338641</c:v>
                </c:pt>
                <c:pt idx="8">
                  <c:v>-24573.194517395379</c:v>
                </c:pt>
                <c:pt idx="9">
                  <c:v>-2272.2371616414957</c:v>
                </c:pt>
                <c:pt idx="10">
                  <c:v>-2103.9232978161995</c:v>
                </c:pt>
                <c:pt idx="11">
                  <c:v>-1948.0771276075923</c:v>
                </c:pt>
                <c:pt idx="12">
                  <c:v>-1803.7751181551778</c:v>
                </c:pt>
                <c:pt idx="13">
                  <c:v>-1670.1621464399796</c:v>
                </c:pt>
                <c:pt idx="14">
                  <c:v>-1546.4464318888697</c:v>
                </c:pt>
                <c:pt idx="15">
                  <c:v>-1431.8948443415459</c:v>
                </c:pt>
                <c:pt idx="16">
                  <c:v>-7900.2542687656951</c:v>
                </c:pt>
                <c:pt idx="17">
                  <c:v>-1227.6190366439864</c:v>
                </c:pt>
                <c:pt idx="18">
                  <c:v>-1136.6842931888764</c:v>
                </c:pt>
                <c:pt idx="19">
                  <c:v>-1052.4854566563668</c:v>
                </c:pt>
                <c:pt idx="20">
                  <c:v>-974.5235709781175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72-BC45-8815-AE19FE0A58DA}"/>
            </c:ext>
          </c:extLst>
        </c:ser>
        <c:ser>
          <c:idx val="2"/>
          <c:order val="2"/>
          <c:tx>
            <c:strRef>
              <c:f>GRAPH!$G$1</c:f>
              <c:strCache>
                <c:ptCount val="1"/>
                <c:pt idx="0">
                  <c:v>HLUC-3-PUC-3  BESS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GRAPH!$G$2:$G$32</c:f>
              <c:numCache>
                <c:formatCode>_-* #,##0\ _€_-;\-* #,##0\ _€_-;_-* "-"??\ _€_-;_-@_-</c:formatCode>
                <c:ptCount val="31"/>
                <c:pt idx="0">
                  <c:v>-43872.125999999931</c:v>
                </c:pt>
                <c:pt idx="1">
                  <c:v>-4205.7524074074008</c:v>
                </c:pt>
                <c:pt idx="2">
                  <c:v>-3894.2151920438896</c:v>
                </c:pt>
                <c:pt idx="3">
                  <c:v>-3605.754807448046</c:v>
                </c:pt>
                <c:pt idx="4">
                  <c:v>-3338.6618587481903</c:v>
                </c:pt>
                <c:pt idx="5">
                  <c:v>-3091.3535729149912</c:v>
                </c:pt>
                <c:pt idx="6">
                  <c:v>-2862.3644193657324</c:v>
                </c:pt>
                <c:pt idx="7">
                  <c:v>-2650.337425338641</c:v>
                </c:pt>
                <c:pt idx="8">
                  <c:v>-2454.0161345728156</c:v>
                </c:pt>
                <c:pt idx="9">
                  <c:v>-2272.2371616414957</c:v>
                </c:pt>
                <c:pt idx="10">
                  <c:v>-2103.9232978161995</c:v>
                </c:pt>
                <c:pt idx="11">
                  <c:v>-1948.0771276075923</c:v>
                </c:pt>
                <c:pt idx="12">
                  <c:v>-1803.7751181551778</c:v>
                </c:pt>
                <c:pt idx="13">
                  <c:v>-1670.1621464399796</c:v>
                </c:pt>
                <c:pt idx="14">
                  <c:v>-1546.4464318888697</c:v>
                </c:pt>
                <c:pt idx="15">
                  <c:v>-1431.8948443415459</c:v>
                </c:pt>
                <c:pt idx="16">
                  <c:v>-1325.8285595755056</c:v>
                </c:pt>
                <c:pt idx="17">
                  <c:v>-1227.6190366439864</c:v>
                </c:pt>
                <c:pt idx="18">
                  <c:v>-1136.6842931888764</c:v>
                </c:pt>
                <c:pt idx="19">
                  <c:v>-1052.4854566563668</c:v>
                </c:pt>
                <c:pt idx="20">
                  <c:v>-974.5235709781175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72-BC45-8815-AE19FE0A5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428391711"/>
        <c:axId val="1428427039"/>
      </c:barChart>
      <c:catAx>
        <c:axId val="14283917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28427039"/>
        <c:crosses val="autoZero"/>
        <c:auto val="1"/>
        <c:lblAlgn val="ctr"/>
        <c:lblOffset val="100"/>
        <c:noMultiLvlLbl val="0"/>
      </c:catAx>
      <c:valAx>
        <c:axId val="142842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€_-;\-* #,##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28391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2</xdr:row>
      <xdr:rowOff>88900</xdr:rowOff>
    </xdr:from>
    <xdr:to>
      <xdr:col>13</xdr:col>
      <xdr:colOff>241300</xdr:colOff>
      <xdr:row>18</xdr:row>
      <xdr:rowOff>127000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137E053-B168-454E-9BC9-EAF4A4C81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590550</xdr:colOff>
      <xdr:row>19</xdr:row>
      <xdr:rowOff>127000</xdr:rowOff>
    </xdr:from>
    <xdr:to>
      <xdr:col>13</xdr:col>
      <xdr:colOff>571500</xdr:colOff>
      <xdr:row>37</xdr:row>
      <xdr:rowOff>152400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5A4CEA9-C105-A449-BCC9-08F1BBEBB0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1358900</xdr:colOff>
      <xdr:row>4</xdr:row>
      <xdr:rowOff>101600</xdr:rowOff>
    </xdr:from>
    <xdr:to>
      <xdr:col>15</xdr:col>
      <xdr:colOff>292100</xdr:colOff>
      <xdr:row>26</xdr:row>
      <xdr:rowOff>101600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4E06E88-9AA7-4447-9251-6BDB5720C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12699</xdr:colOff>
      <xdr:row>22</xdr:row>
      <xdr:rowOff>177800</xdr:rowOff>
    </xdr:from>
    <xdr:to>
      <xdr:col>13</xdr:col>
      <xdr:colOff>215899</xdr:colOff>
      <xdr:row>50</xdr:row>
      <xdr:rowOff>177800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22381D-FE74-C94D-811A-A10FD4C65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4</xdr:row>
      <xdr:rowOff>42334</xdr:rowOff>
    </xdr:from>
    <xdr:to>
      <xdr:col>13</xdr:col>
      <xdr:colOff>225778</xdr:colOff>
      <xdr:row>22</xdr:row>
      <xdr:rowOff>165100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389BA93-4972-404B-A561-A72CD72D15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10</xdr:row>
      <xdr:rowOff>190500</xdr:rowOff>
    </xdr:from>
    <xdr:to>
      <xdr:col>17</xdr:col>
      <xdr:colOff>990600</xdr:colOff>
      <xdr:row>30</xdr:row>
      <xdr:rowOff>152400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5AEAC88-7D84-F848-9383-DE0180FC1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609600</xdr:colOff>
      <xdr:row>3</xdr:row>
      <xdr:rowOff>139700</xdr:rowOff>
    </xdr:from>
    <xdr:to>
      <xdr:col>19</xdr:col>
      <xdr:colOff>508000</xdr:colOff>
      <xdr:row>28</xdr:row>
      <xdr:rowOff>12700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73461DB-66D7-BE47-BF29-2801F90AE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C5DEC-4F76-8B42-9985-957545FE1E62}">
  <dimension ref="A1:F168"/>
  <sheetViews>
    <sheetView topLeftCell="A130" zoomScale="60" zoomScaleNormal="60" workbookViewId="0">
      <selection activeCell="B18" sqref="B18:E163"/>
    </sheetView>
  </sheetViews>
  <sheetFormatPr baseColWidth="10" defaultRowHeight="16"/>
  <cols>
    <col min="3" max="3" width="13.33203125" bestFit="1" customWidth="1"/>
    <col min="4" max="4" width="13.83203125" bestFit="1" customWidth="1"/>
    <col min="5" max="5" width="23.5" bestFit="1" customWidth="1"/>
    <col min="6" max="6" width="12" bestFit="1" customWidth="1"/>
  </cols>
  <sheetData>
    <row r="1" spans="1:6">
      <c r="B1" s="131" t="s">
        <v>11</v>
      </c>
      <c r="C1" s="131"/>
      <c r="D1" s="132" t="s">
        <v>12</v>
      </c>
      <c r="E1" s="132"/>
    </row>
    <row r="2" spans="1:6">
      <c r="B2" s="2" t="s">
        <v>5</v>
      </c>
      <c r="C2" s="2" t="s">
        <v>13</v>
      </c>
      <c r="D2" s="3" t="s">
        <v>14</v>
      </c>
      <c r="E2" s="3" t="s">
        <v>9</v>
      </c>
    </row>
    <row r="3" spans="1:6">
      <c r="A3" s="71">
        <v>0</v>
      </c>
      <c r="B3" s="4">
        <v>0</v>
      </c>
      <c r="C3" s="10">
        <v>0</v>
      </c>
      <c r="D3" s="5" t="s">
        <v>15</v>
      </c>
      <c r="E3" s="73">
        <v>24.425999999999998</v>
      </c>
      <c r="F3" s="11">
        <f>E3-7000</f>
        <v>-6975.5739999999996</v>
      </c>
    </row>
    <row r="4" spans="1:6">
      <c r="A4" s="71">
        <v>0.24</v>
      </c>
      <c r="B4" s="4">
        <v>36</v>
      </c>
      <c r="C4" s="10">
        <v>27300</v>
      </c>
      <c r="D4" s="5" t="s">
        <v>16</v>
      </c>
      <c r="E4" s="73">
        <v>2994.1</v>
      </c>
      <c r="F4" s="11">
        <f>E4</f>
        <v>2994.1</v>
      </c>
    </row>
    <row r="5" spans="1:6">
      <c r="A5" s="71">
        <v>0.64</v>
      </c>
      <c r="B5" s="4">
        <v>96</v>
      </c>
      <c r="C5" s="10">
        <v>9850</v>
      </c>
      <c r="D5" s="5" t="s">
        <v>17</v>
      </c>
      <c r="E5" s="72">
        <v>-90.805999999999997</v>
      </c>
      <c r="F5" s="11">
        <f>E5</f>
        <v>-90.805999999999997</v>
      </c>
    </row>
    <row r="6" spans="1:6">
      <c r="A6" s="71">
        <v>0.74</v>
      </c>
      <c r="B6" s="4">
        <v>111</v>
      </c>
      <c r="C6" s="10">
        <v>21000</v>
      </c>
      <c r="D6" s="5" t="s">
        <v>81</v>
      </c>
      <c r="E6" s="74">
        <v>0.89229999999999998</v>
      </c>
      <c r="F6" s="72"/>
    </row>
    <row r="7" spans="1:6">
      <c r="A7" s="71">
        <v>0.84</v>
      </c>
      <c r="B7" s="4">
        <v>126</v>
      </c>
      <c r="C7" s="10">
        <v>41600</v>
      </c>
      <c r="D7" s="5" t="s">
        <v>83</v>
      </c>
      <c r="E7" s="74">
        <v>-2.7000000000000001E-3</v>
      </c>
      <c r="F7" s="74"/>
    </row>
    <row r="8" spans="1:6">
      <c r="A8" s="71">
        <v>0.94</v>
      </c>
      <c r="B8" s="4">
        <v>141</v>
      </c>
      <c r="C8" s="10">
        <v>43100</v>
      </c>
    </row>
    <row r="9" spans="1:6">
      <c r="A9" s="71">
        <v>1</v>
      </c>
      <c r="B9" s="4">
        <v>150</v>
      </c>
      <c r="C9" s="10">
        <v>47500</v>
      </c>
    </row>
    <row r="16" spans="1:6">
      <c r="B16" s="133" t="s">
        <v>18</v>
      </c>
      <c r="C16" s="133"/>
      <c r="D16" s="133"/>
    </row>
    <row r="17" spans="2:6">
      <c r="B17" s="6" t="s">
        <v>5</v>
      </c>
      <c r="C17" s="6" t="s">
        <v>1</v>
      </c>
      <c r="D17" s="6" t="s">
        <v>19</v>
      </c>
      <c r="E17" s="6" t="s">
        <v>20</v>
      </c>
      <c r="F17" s="6" t="s">
        <v>64</v>
      </c>
    </row>
    <row r="18" spans="2:6">
      <c r="B18" s="7">
        <v>0</v>
      </c>
      <c r="C18" s="8">
        <f>B18/$B$168</f>
        <v>0</v>
      </c>
      <c r="D18" s="12">
        <f>$E$3+$E$4*B18+E$5*B18^2+$E$6*B18^3+$E$7*B18^4</f>
        <v>24.425999999999998</v>
      </c>
      <c r="E18" s="12">
        <f>$F$3+$F$4*B18+$F$5*B18^2</f>
        <v>-6975.5739999999996</v>
      </c>
    </row>
    <row r="19" spans="2:6">
      <c r="B19" s="7">
        <v>1</v>
      </c>
      <c r="C19" s="8">
        <f t="shared" ref="C19:C24" si="0">B19/$B$168</f>
        <v>6.6666666666666671E-3</v>
      </c>
      <c r="D19" s="12">
        <f t="shared" ref="D19:D82" si="1">$E$3+$E$4*B19+E$5*B19^2+$E$6*B19^3+$E$7*B19^4</f>
        <v>2928.6095999999998</v>
      </c>
      <c r="E19" s="12">
        <f t="shared" ref="E19:E82" si="2">$F$3+$F$4*B19+$F$5*B19^2</f>
        <v>-4072.2799999999997</v>
      </c>
    </row>
    <row r="20" spans="2:6">
      <c r="B20" s="7">
        <v>2</v>
      </c>
      <c r="C20" s="8">
        <f t="shared" si="0"/>
        <v>1.3333333333333334E-2</v>
      </c>
      <c r="D20" s="12">
        <f t="shared" si="1"/>
        <v>5656.4971999999998</v>
      </c>
      <c r="E20" s="12">
        <f t="shared" si="2"/>
        <v>-1350.5979999999997</v>
      </c>
    </row>
    <row r="21" spans="2:6">
      <c r="B21" s="7">
        <v>3</v>
      </c>
      <c r="C21" s="8">
        <f t="shared" si="0"/>
        <v>0.02</v>
      </c>
      <c r="D21" s="12">
        <f t="shared" si="1"/>
        <v>8213.3454000000002</v>
      </c>
      <c r="E21" s="12">
        <f t="shared" si="2"/>
        <v>1189.4719999999998</v>
      </c>
    </row>
    <row r="22" spans="2:6">
      <c r="B22" s="7">
        <v>4</v>
      </c>
      <c r="C22" s="8">
        <f t="shared" si="0"/>
        <v>2.6666666666666668E-2</v>
      </c>
      <c r="D22" s="12">
        <f t="shared" si="1"/>
        <v>10604.346</v>
      </c>
      <c r="E22" s="12">
        <f t="shared" si="2"/>
        <v>3547.9300000000003</v>
      </c>
    </row>
    <row r="23" spans="2:6">
      <c r="B23" s="7">
        <v>5</v>
      </c>
      <c r="C23" s="8">
        <f t="shared" si="0"/>
        <v>3.3333333333333333E-2</v>
      </c>
      <c r="D23" s="12">
        <f t="shared" si="1"/>
        <v>12834.626</v>
      </c>
      <c r="E23" s="12">
        <f t="shared" si="2"/>
        <v>5724.7759999999998</v>
      </c>
    </row>
    <row r="24" spans="2:6">
      <c r="B24" s="7">
        <v>6</v>
      </c>
      <c r="C24" s="8">
        <f t="shared" si="0"/>
        <v>0.04</v>
      </c>
      <c r="D24" s="12">
        <f t="shared" si="1"/>
        <v>14909.247599999999</v>
      </c>
      <c r="E24" s="12">
        <f t="shared" si="2"/>
        <v>7720.0099999999984</v>
      </c>
    </row>
    <row r="25" spans="2:6">
      <c r="B25" s="7">
        <v>7</v>
      </c>
      <c r="C25" s="8">
        <f t="shared" ref="C25:C82" si="3">B25/$B$168</f>
        <v>4.6666666666666669E-2</v>
      </c>
      <c r="D25" s="12">
        <f t="shared" si="1"/>
        <v>16833.208200000001</v>
      </c>
      <c r="E25" s="12">
        <f t="shared" si="2"/>
        <v>9533.6320000000014</v>
      </c>
    </row>
    <row r="26" spans="2:6">
      <c r="B26" s="7">
        <v>8</v>
      </c>
      <c r="C26" s="8">
        <f t="shared" si="3"/>
        <v>5.3333333333333337E-2</v>
      </c>
      <c r="D26" s="12">
        <f t="shared" si="1"/>
        <v>18611.440399999999</v>
      </c>
      <c r="E26" s="12">
        <f t="shared" si="2"/>
        <v>11165.642</v>
      </c>
    </row>
    <row r="27" spans="2:6">
      <c r="B27" s="7">
        <v>9</v>
      </c>
      <c r="C27" s="8">
        <f t="shared" si="3"/>
        <v>0.06</v>
      </c>
      <c r="D27" s="12">
        <f t="shared" si="1"/>
        <v>20248.811999999998</v>
      </c>
      <c r="E27" s="12">
        <f t="shared" si="2"/>
        <v>12616.039999999997</v>
      </c>
    </row>
    <row r="28" spans="2:6">
      <c r="B28" s="7">
        <v>10</v>
      </c>
      <c r="C28" s="8">
        <f t="shared" si="3"/>
        <v>6.6666666666666666E-2</v>
      </c>
      <c r="D28" s="12">
        <f t="shared" si="1"/>
        <v>21750.126</v>
      </c>
      <c r="E28" s="12">
        <f t="shared" si="2"/>
        <v>13884.825999999999</v>
      </c>
    </row>
    <row r="29" spans="2:6">
      <c r="B29" s="7">
        <v>11</v>
      </c>
      <c r="C29" s="8">
        <f t="shared" si="3"/>
        <v>7.3333333333333334E-2</v>
      </c>
      <c r="D29" s="12">
        <f t="shared" si="1"/>
        <v>23120.120600000002</v>
      </c>
      <c r="E29" s="12">
        <f t="shared" si="2"/>
        <v>14971.999999999998</v>
      </c>
    </row>
    <row r="30" spans="2:6">
      <c r="B30" s="7">
        <v>12</v>
      </c>
      <c r="C30" s="8">
        <f t="shared" si="3"/>
        <v>0.08</v>
      </c>
      <c r="D30" s="12">
        <f t="shared" si="1"/>
        <v>24363.4692</v>
      </c>
      <c r="E30" s="12">
        <f t="shared" si="2"/>
        <v>15877.561999999996</v>
      </c>
    </row>
    <row r="31" spans="2:6">
      <c r="B31" s="7">
        <v>13</v>
      </c>
      <c r="C31" s="8">
        <f t="shared" si="3"/>
        <v>8.666666666666667E-2</v>
      </c>
      <c r="D31" s="12">
        <f t="shared" si="1"/>
        <v>25484.780399999996</v>
      </c>
      <c r="E31" s="12">
        <f t="shared" si="2"/>
        <v>16601.511999999995</v>
      </c>
    </row>
    <row r="32" spans="2:6">
      <c r="B32" s="7">
        <v>14</v>
      </c>
      <c r="C32" s="8">
        <f t="shared" si="3"/>
        <v>9.3333333333333338E-2</v>
      </c>
      <c r="D32" s="12">
        <f t="shared" si="1"/>
        <v>26488.598000000002</v>
      </c>
      <c r="E32" s="12">
        <f t="shared" si="2"/>
        <v>17143.850000000002</v>
      </c>
    </row>
    <row r="33" spans="2:5">
      <c r="B33" s="7">
        <v>15</v>
      </c>
      <c r="C33" s="8">
        <f t="shared" si="3"/>
        <v>0.1</v>
      </c>
      <c r="D33" s="12">
        <f t="shared" si="1"/>
        <v>27379.401000000002</v>
      </c>
      <c r="E33" s="12">
        <f t="shared" si="2"/>
        <v>17504.576000000001</v>
      </c>
    </row>
    <row r="34" spans="2:5">
      <c r="B34" s="7">
        <v>16</v>
      </c>
      <c r="C34" s="8">
        <f t="shared" si="3"/>
        <v>0.10666666666666667</v>
      </c>
      <c r="D34" s="12">
        <f t="shared" si="1"/>
        <v>28161.603599999999</v>
      </c>
      <c r="E34" s="12">
        <f t="shared" si="2"/>
        <v>17683.689999999999</v>
      </c>
    </row>
    <row r="35" spans="2:5">
      <c r="B35" s="7">
        <v>17</v>
      </c>
      <c r="C35" s="8">
        <f t="shared" si="3"/>
        <v>0.11333333333333333</v>
      </c>
      <c r="D35" s="12">
        <f t="shared" si="1"/>
        <v>28839.555199999999</v>
      </c>
      <c r="E35" s="12">
        <f t="shared" si="2"/>
        <v>17681.191999999999</v>
      </c>
    </row>
    <row r="36" spans="2:5">
      <c r="B36" s="7">
        <v>18</v>
      </c>
      <c r="C36" s="8">
        <f t="shared" si="3"/>
        <v>0.12</v>
      </c>
      <c r="D36" s="12">
        <f t="shared" si="1"/>
        <v>29417.540399999994</v>
      </c>
      <c r="E36" s="12">
        <f t="shared" si="2"/>
        <v>17497.081999999995</v>
      </c>
    </row>
    <row r="37" spans="2:5">
      <c r="B37" s="7">
        <v>19</v>
      </c>
      <c r="C37" s="8">
        <f t="shared" si="3"/>
        <v>0.12666666666666668</v>
      </c>
      <c r="D37" s="12">
        <f t="shared" si="1"/>
        <v>29899.779000000002</v>
      </c>
      <c r="E37" s="12">
        <f t="shared" si="2"/>
        <v>17131.36</v>
      </c>
    </row>
    <row r="38" spans="2:5">
      <c r="B38" s="7">
        <v>20</v>
      </c>
      <c r="C38" s="8">
        <f t="shared" si="3"/>
        <v>0.13333333333333333</v>
      </c>
      <c r="D38" s="12">
        <f t="shared" si="1"/>
        <v>30290.425999999999</v>
      </c>
      <c r="E38" s="12">
        <f t="shared" si="2"/>
        <v>16584.025999999998</v>
      </c>
    </row>
    <row r="39" spans="2:5">
      <c r="B39" s="7">
        <v>21</v>
      </c>
      <c r="C39" s="8">
        <f t="shared" si="3"/>
        <v>0.14000000000000001</v>
      </c>
      <c r="D39" s="12">
        <f t="shared" si="1"/>
        <v>30593.571600000003</v>
      </c>
      <c r="E39" s="12">
        <f t="shared" si="2"/>
        <v>15855.080000000002</v>
      </c>
    </row>
    <row r="40" spans="2:5">
      <c r="B40" s="7">
        <v>22</v>
      </c>
      <c r="C40" s="8">
        <f t="shared" si="3"/>
        <v>0.14666666666666667</v>
      </c>
      <c r="D40" s="12">
        <f t="shared" si="1"/>
        <v>30813.241200000004</v>
      </c>
      <c r="E40" s="12">
        <f t="shared" si="2"/>
        <v>14944.521999999997</v>
      </c>
    </row>
    <row r="41" spans="2:5">
      <c r="B41" s="7">
        <v>23</v>
      </c>
      <c r="C41" s="8">
        <f t="shared" si="3"/>
        <v>0.15333333333333332</v>
      </c>
      <c r="D41" s="12">
        <f t="shared" si="1"/>
        <v>30953.395400000012</v>
      </c>
      <c r="E41" s="12">
        <f t="shared" si="2"/>
        <v>13852.352000000006</v>
      </c>
    </row>
    <row r="42" spans="2:5">
      <c r="B42" s="7">
        <v>24</v>
      </c>
      <c r="C42" s="8">
        <f t="shared" si="3"/>
        <v>0.16</v>
      </c>
      <c r="D42" s="12">
        <f t="shared" si="1"/>
        <v>31017.93</v>
      </c>
      <c r="E42" s="12">
        <f t="shared" si="2"/>
        <v>12578.569999999992</v>
      </c>
    </row>
    <row r="43" spans="2:5">
      <c r="B43" s="7">
        <v>25</v>
      </c>
      <c r="C43" s="8">
        <f t="shared" si="3"/>
        <v>0.16666666666666666</v>
      </c>
      <c r="D43" s="12">
        <f t="shared" si="1"/>
        <v>31010.676000000007</v>
      </c>
      <c r="E43" s="12">
        <f t="shared" si="2"/>
        <v>11123.176000000007</v>
      </c>
    </row>
    <row r="44" spans="2:5">
      <c r="B44" s="7">
        <v>26</v>
      </c>
      <c r="C44" s="8">
        <f t="shared" si="3"/>
        <v>0.17333333333333334</v>
      </c>
      <c r="D44" s="12">
        <f t="shared" si="1"/>
        <v>30935.399599999997</v>
      </c>
      <c r="E44" s="12">
        <f t="shared" si="2"/>
        <v>9486.1699999999983</v>
      </c>
    </row>
    <row r="45" spans="2:5">
      <c r="B45" s="7">
        <v>27</v>
      </c>
      <c r="C45" s="8">
        <f t="shared" si="3"/>
        <v>0.18</v>
      </c>
      <c r="D45" s="12">
        <f t="shared" si="1"/>
        <v>30795.802200000009</v>
      </c>
      <c r="E45" s="12">
        <f t="shared" si="2"/>
        <v>7667.5520000000106</v>
      </c>
    </row>
    <row r="46" spans="2:5">
      <c r="B46" s="7">
        <v>28</v>
      </c>
      <c r="C46" s="8">
        <f t="shared" si="3"/>
        <v>0.18666666666666668</v>
      </c>
      <c r="D46" s="12">
        <f t="shared" si="1"/>
        <v>30595.520400000016</v>
      </c>
      <c r="E46" s="12">
        <f t="shared" si="2"/>
        <v>5667.3220000000147</v>
      </c>
    </row>
    <row r="47" spans="2:5">
      <c r="B47" s="7">
        <v>29</v>
      </c>
      <c r="C47" s="8">
        <f t="shared" si="3"/>
        <v>0.19333333333333333</v>
      </c>
      <c r="D47" s="12">
        <f t="shared" si="1"/>
        <v>30338.125999999997</v>
      </c>
      <c r="E47" s="12">
        <f t="shared" si="2"/>
        <v>3485.4799999999959</v>
      </c>
    </row>
    <row r="48" spans="2:5">
      <c r="B48" s="7">
        <v>30</v>
      </c>
      <c r="C48" s="8">
        <f t="shared" si="3"/>
        <v>0.2</v>
      </c>
      <c r="D48" s="12">
        <f t="shared" si="1"/>
        <v>30027.126000000011</v>
      </c>
      <c r="E48" s="12">
        <f t="shared" si="2"/>
        <v>1122.0260000000126</v>
      </c>
    </row>
    <row r="49" spans="2:5">
      <c r="B49" s="7">
        <v>31</v>
      </c>
      <c r="C49" s="8">
        <f t="shared" si="3"/>
        <v>0.20666666666666667</v>
      </c>
      <c r="D49" s="12">
        <f t="shared" si="1"/>
        <v>29665.962600000006</v>
      </c>
      <c r="E49" s="12">
        <f t="shared" si="2"/>
        <v>-1423.0399999999936</v>
      </c>
    </row>
    <row r="50" spans="2:5">
      <c r="B50" s="7">
        <v>32</v>
      </c>
      <c r="C50" s="8">
        <f t="shared" si="3"/>
        <v>0.21333333333333335</v>
      </c>
      <c r="D50" s="12">
        <f t="shared" si="1"/>
        <v>29258.013200000005</v>
      </c>
      <c r="E50" s="12">
        <f t="shared" si="2"/>
        <v>-4149.7179999999935</v>
      </c>
    </row>
    <row r="51" spans="2:5">
      <c r="B51" s="7">
        <v>33</v>
      </c>
      <c r="C51" s="8">
        <f t="shared" si="3"/>
        <v>0.22</v>
      </c>
      <c r="D51" s="12">
        <f t="shared" si="1"/>
        <v>28806.590400000012</v>
      </c>
      <c r="E51" s="12">
        <f t="shared" si="2"/>
        <v>-7058.0079999999871</v>
      </c>
    </row>
    <row r="52" spans="2:5">
      <c r="B52" s="7">
        <v>34</v>
      </c>
      <c r="C52" s="8">
        <f t="shared" si="3"/>
        <v>0.22666666666666666</v>
      </c>
      <c r="D52" s="12">
        <f t="shared" si="1"/>
        <v>28314.94200000001</v>
      </c>
      <c r="E52" s="12">
        <f t="shared" si="2"/>
        <v>-10147.909999999989</v>
      </c>
    </row>
    <row r="53" spans="2:5">
      <c r="B53" s="7">
        <v>35</v>
      </c>
      <c r="C53" s="8">
        <f t="shared" si="3"/>
        <v>0.23333333333333334</v>
      </c>
      <c r="D53" s="12">
        <f t="shared" si="1"/>
        <v>27786.251000000011</v>
      </c>
      <c r="E53" s="12">
        <f t="shared" si="2"/>
        <v>-13419.423999999985</v>
      </c>
    </row>
    <row r="54" spans="2:5">
      <c r="B54" s="7">
        <v>36</v>
      </c>
      <c r="C54" s="8">
        <f t="shared" si="3"/>
        <v>0.24</v>
      </c>
      <c r="D54" s="12">
        <f t="shared" si="1"/>
        <v>27223.635600000001</v>
      </c>
      <c r="E54" s="12">
        <f t="shared" si="2"/>
        <v>-16872.550000000003</v>
      </c>
    </row>
    <row r="55" spans="2:5">
      <c r="B55" s="7">
        <v>37</v>
      </c>
      <c r="C55" s="8">
        <f t="shared" si="3"/>
        <v>0.24666666666666667</v>
      </c>
      <c r="D55" s="12">
        <f t="shared" si="1"/>
        <v>26630.149200000014</v>
      </c>
      <c r="E55" s="12">
        <f t="shared" si="2"/>
        <v>-20507.287999999986</v>
      </c>
    </row>
    <row r="56" spans="2:5">
      <c r="B56" s="7">
        <v>38</v>
      </c>
      <c r="C56" s="8">
        <f t="shared" si="3"/>
        <v>0.25333333333333335</v>
      </c>
      <c r="D56" s="12">
        <f t="shared" si="1"/>
        <v>26008.780400000003</v>
      </c>
      <c r="E56" s="12">
        <f t="shared" si="2"/>
        <v>-24323.637999999992</v>
      </c>
    </row>
    <row r="57" spans="2:5">
      <c r="B57" s="7">
        <v>39</v>
      </c>
      <c r="C57" s="8">
        <f t="shared" si="3"/>
        <v>0.26</v>
      </c>
      <c r="D57" s="12">
        <f t="shared" si="1"/>
        <v>25362.45299999999</v>
      </c>
      <c r="E57" s="12">
        <f t="shared" si="2"/>
        <v>-28321.600000000006</v>
      </c>
    </row>
    <row r="58" spans="2:5">
      <c r="B58" s="7">
        <v>40</v>
      </c>
      <c r="C58" s="8">
        <f t="shared" si="3"/>
        <v>0.26666666666666666</v>
      </c>
      <c r="D58" s="12">
        <f t="shared" si="1"/>
        <v>24694.025999999998</v>
      </c>
      <c r="E58" s="12">
        <f t="shared" si="2"/>
        <v>-32501.173999999999</v>
      </c>
    </row>
    <row r="59" spans="2:5">
      <c r="B59" s="7">
        <v>41</v>
      </c>
      <c r="C59" s="8">
        <f t="shared" si="3"/>
        <v>0.27333333333333332</v>
      </c>
      <c r="D59" s="12">
        <f t="shared" si="1"/>
        <v>24006.293599999997</v>
      </c>
      <c r="E59" s="12">
        <f t="shared" si="2"/>
        <v>-36862.36</v>
      </c>
    </row>
    <row r="60" spans="2:5">
      <c r="B60" s="7">
        <v>42</v>
      </c>
      <c r="C60" s="8">
        <f t="shared" si="3"/>
        <v>0.28000000000000003</v>
      </c>
      <c r="D60" s="12">
        <f t="shared" si="1"/>
        <v>23301.985200000017</v>
      </c>
      <c r="E60" s="12">
        <f t="shared" si="2"/>
        <v>-41405.157999999981</v>
      </c>
    </row>
    <row r="61" spans="2:5">
      <c r="B61" s="7">
        <v>43</v>
      </c>
      <c r="C61" s="8">
        <f t="shared" si="3"/>
        <v>0.28666666666666668</v>
      </c>
      <c r="D61" s="12">
        <f t="shared" si="1"/>
        <v>22583.765400000011</v>
      </c>
      <c r="E61" s="12">
        <f t="shared" si="2"/>
        <v>-46129.567999999985</v>
      </c>
    </row>
    <row r="62" spans="2:5">
      <c r="B62" s="7">
        <v>44</v>
      </c>
      <c r="C62" s="8">
        <f t="shared" si="3"/>
        <v>0.29333333333333333</v>
      </c>
      <c r="D62" s="12">
        <f t="shared" si="1"/>
        <v>21854.234000000004</v>
      </c>
      <c r="E62" s="12">
        <f t="shared" si="2"/>
        <v>-51035.59</v>
      </c>
    </row>
    <row r="63" spans="2:5">
      <c r="B63" s="7">
        <v>45</v>
      </c>
      <c r="C63" s="8">
        <f t="shared" si="3"/>
        <v>0.3</v>
      </c>
      <c r="D63" s="12">
        <f t="shared" si="1"/>
        <v>21115.926000000007</v>
      </c>
      <c r="E63" s="12">
        <f t="shared" si="2"/>
        <v>-56123.223999999987</v>
      </c>
    </row>
    <row r="64" spans="2:5">
      <c r="B64" s="7">
        <v>46</v>
      </c>
      <c r="C64" s="8">
        <f t="shared" si="3"/>
        <v>0.30666666666666664</v>
      </c>
      <c r="D64" s="12">
        <f t="shared" si="1"/>
        <v>20371.311600000034</v>
      </c>
      <c r="E64" s="12">
        <f t="shared" si="2"/>
        <v>-61392.469999999972</v>
      </c>
    </row>
    <row r="65" spans="2:5">
      <c r="B65" s="7">
        <v>47</v>
      </c>
      <c r="C65" s="8">
        <f t="shared" si="3"/>
        <v>0.31333333333333335</v>
      </c>
      <c r="D65" s="12">
        <f t="shared" si="1"/>
        <v>19622.79619999999</v>
      </c>
      <c r="E65" s="12">
        <f t="shared" si="2"/>
        <v>-66843.328000000009</v>
      </c>
    </row>
    <row r="66" spans="2:5">
      <c r="B66" s="7">
        <v>48</v>
      </c>
      <c r="C66" s="8">
        <f t="shared" si="3"/>
        <v>0.32</v>
      </c>
      <c r="D66" s="12">
        <f t="shared" si="1"/>
        <v>18872.720399999984</v>
      </c>
      <c r="E66" s="12">
        <f t="shared" si="2"/>
        <v>-72475.79800000001</v>
      </c>
    </row>
    <row r="67" spans="2:5">
      <c r="B67" s="7">
        <v>49</v>
      </c>
      <c r="C67" s="8">
        <f t="shared" si="3"/>
        <v>0.32666666666666666</v>
      </c>
      <c r="D67" s="12">
        <f t="shared" si="1"/>
        <v>18123.35999999999</v>
      </c>
      <c r="E67" s="12">
        <f t="shared" si="2"/>
        <v>-78289.88</v>
      </c>
    </row>
    <row r="68" spans="2:5">
      <c r="B68" s="7">
        <v>50</v>
      </c>
      <c r="C68" s="8">
        <f t="shared" si="3"/>
        <v>0.33333333333333331</v>
      </c>
      <c r="D68" s="12">
        <f t="shared" si="1"/>
        <v>17376.926000000007</v>
      </c>
      <c r="E68" s="12">
        <f t="shared" si="2"/>
        <v>-84285.573999999993</v>
      </c>
    </row>
    <row r="69" spans="2:5">
      <c r="B69" s="7">
        <v>51</v>
      </c>
      <c r="C69" s="8">
        <f t="shared" si="3"/>
        <v>0.34</v>
      </c>
      <c r="D69" s="12">
        <f t="shared" si="1"/>
        <v>16635.564600000016</v>
      </c>
      <c r="E69" s="12">
        <f t="shared" si="2"/>
        <v>-90462.879999999976</v>
      </c>
    </row>
    <row r="70" spans="2:5">
      <c r="B70" s="7">
        <v>52</v>
      </c>
      <c r="C70" s="8">
        <f t="shared" si="3"/>
        <v>0.34666666666666668</v>
      </c>
      <c r="D70" s="12">
        <f t="shared" si="1"/>
        <v>15901.357199999991</v>
      </c>
      <c r="E70" s="12">
        <f t="shared" si="2"/>
        <v>-96821.79800000001</v>
      </c>
    </row>
    <row r="71" spans="2:5">
      <c r="B71" s="7">
        <v>53</v>
      </c>
      <c r="C71" s="8">
        <f t="shared" si="3"/>
        <v>0.35333333333333333</v>
      </c>
      <c r="D71" s="12">
        <f t="shared" si="1"/>
        <v>15176.320399999982</v>
      </c>
      <c r="E71" s="12">
        <f t="shared" si="2"/>
        <v>-103362.32800000001</v>
      </c>
    </row>
    <row r="72" spans="2:5">
      <c r="B72" s="7">
        <v>54</v>
      </c>
      <c r="C72" s="8">
        <f t="shared" si="3"/>
        <v>0.36</v>
      </c>
      <c r="D72" s="12">
        <f t="shared" si="1"/>
        <v>14462.406000000014</v>
      </c>
      <c r="E72" s="12">
        <f t="shared" si="2"/>
        <v>-110084.46999999997</v>
      </c>
    </row>
    <row r="73" spans="2:5">
      <c r="B73" s="7">
        <v>55</v>
      </c>
      <c r="C73" s="8">
        <f t="shared" si="3"/>
        <v>0.36666666666666664</v>
      </c>
      <c r="D73" s="12">
        <f t="shared" si="1"/>
        <v>13761.501000000047</v>
      </c>
      <c r="E73" s="12">
        <f t="shared" si="2"/>
        <v>-116988.22399999996</v>
      </c>
    </row>
    <row r="74" spans="2:5">
      <c r="B74" s="7">
        <v>56</v>
      </c>
      <c r="C74" s="8">
        <f t="shared" si="3"/>
        <v>0.37333333333333335</v>
      </c>
      <c r="D74" s="12">
        <f t="shared" si="1"/>
        <v>13075.427600000028</v>
      </c>
      <c r="E74" s="12">
        <f t="shared" si="2"/>
        <v>-124073.58999999997</v>
      </c>
    </row>
    <row r="75" spans="2:5">
      <c r="B75" s="7">
        <v>57</v>
      </c>
      <c r="C75" s="8">
        <f t="shared" si="3"/>
        <v>0.38</v>
      </c>
      <c r="D75" s="12">
        <f t="shared" si="1"/>
        <v>12405.943199999972</v>
      </c>
      <c r="E75" s="12">
        <f t="shared" si="2"/>
        <v>-131340.56800000003</v>
      </c>
    </row>
    <row r="76" spans="2:5">
      <c r="B76" s="7">
        <v>58</v>
      </c>
      <c r="C76" s="8">
        <f t="shared" si="3"/>
        <v>0.38666666666666666</v>
      </c>
      <c r="D76" s="12">
        <f t="shared" si="1"/>
        <v>11754.740399999977</v>
      </c>
      <c r="E76" s="12">
        <f t="shared" si="2"/>
        <v>-138789.15800000002</v>
      </c>
    </row>
    <row r="77" spans="2:5">
      <c r="B77" s="7">
        <v>59</v>
      </c>
      <c r="C77" s="8">
        <f t="shared" si="3"/>
        <v>0.39333333333333331</v>
      </c>
      <c r="D77" s="12">
        <f t="shared" si="1"/>
        <v>11123.447</v>
      </c>
      <c r="E77" s="12">
        <f t="shared" si="2"/>
        <v>-146419.35999999999</v>
      </c>
    </row>
    <row r="78" spans="2:5">
      <c r="B78" s="7">
        <v>60</v>
      </c>
      <c r="C78" s="8">
        <f t="shared" si="3"/>
        <v>0.4</v>
      </c>
      <c r="D78" s="12">
        <f t="shared" si="1"/>
        <v>10513.626000000018</v>
      </c>
      <c r="E78" s="12">
        <f t="shared" si="2"/>
        <v>-154231.17399999997</v>
      </c>
    </row>
    <row r="79" spans="2:5">
      <c r="B79" s="7">
        <v>61</v>
      </c>
      <c r="C79" s="8">
        <f t="shared" si="3"/>
        <v>0.40666666666666668</v>
      </c>
      <c r="D79" s="12">
        <f t="shared" si="1"/>
        <v>9926.7756000000154</v>
      </c>
      <c r="E79" s="12">
        <f t="shared" si="2"/>
        <v>-162224.59999999998</v>
      </c>
    </row>
    <row r="80" spans="2:5">
      <c r="B80" s="7">
        <v>62</v>
      </c>
      <c r="C80" s="8">
        <f t="shared" si="3"/>
        <v>0.41333333333333333</v>
      </c>
      <c r="D80" s="12">
        <f t="shared" si="1"/>
        <v>9364.3292000000074</v>
      </c>
      <c r="E80" s="12">
        <f t="shared" si="2"/>
        <v>-170399.63799999998</v>
      </c>
    </row>
    <row r="81" spans="2:5">
      <c r="B81" s="7">
        <v>63</v>
      </c>
      <c r="C81" s="8">
        <f t="shared" si="3"/>
        <v>0.42</v>
      </c>
      <c r="D81" s="12">
        <f t="shared" si="1"/>
        <v>8827.6554000000251</v>
      </c>
      <c r="E81" s="12">
        <f t="shared" si="2"/>
        <v>-178756.28799999997</v>
      </c>
    </row>
    <row r="82" spans="2:5">
      <c r="B82" s="7">
        <v>64</v>
      </c>
      <c r="C82" s="8">
        <f t="shared" si="3"/>
        <v>0.42666666666666669</v>
      </c>
      <c r="D82" s="12">
        <f t="shared" si="1"/>
        <v>8318.0580000000045</v>
      </c>
      <c r="E82" s="12">
        <f t="shared" si="2"/>
        <v>-187294.55</v>
      </c>
    </row>
    <row r="83" spans="2:5">
      <c r="B83" s="7">
        <v>65</v>
      </c>
      <c r="C83" s="8">
        <f t="shared" ref="C83:C146" si="4">B83/$B$168</f>
        <v>0.43333333333333335</v>
      </c>
      <c r="D83" s="12">
        <f t="shared" ref="D83:D146" si="5">$E$3+$E$4*B83+E$5*B83^2+$E$6*B83^3+$E$7*B83^4</f>
        <v>7836.7760000000126</v>
      </c>
      <c r="E83" s="12">
        <f t="shared" ref="E83:E146" si="6">$F$3+$F$4*B83+$F$5*B83^2</f>
        <v>-196014.42399999997</v>
      </c>
    </row>
    <row r="84" spans="2:5">
      <c r="B84" s="7">
        <v>66</v>
      </c>
      <c r="C84" s="8">
        <f t="shared" si="4"/>
        <v>0.44</v>
      </c>
      <c r="D84" s="12">
        <f t="shared" si="5"/>
        <v>7384.9836000000214</v>
      </c>
      <c r="E84" s="12">
        <f t="shared" si="6"/>
        <v>-204915.90999999997</v>
      </c>
    </row>
    <row r="85" spans="2:5">
      <c r="B85" s="7">
        <v>67</v>
      </c>
      <c r="C85" s="8">
        <f t="shared" si="4"/>
        <v>0.44666666666666666</v>
      </c>
      <c r="D85" s="12">
        <f t="shared" si="5"/>
        <v>6963.7902000000322</v>
      </c>
      <c r="E85" s="12">
        <f t="shared" si="6"/>
        <v>-213999.00799999997</v>
      </c>
    </row>
    <row r="86" spans="2:5">
      <c r="B86" s="7">
        <v>68</v>
      </c>
      <c r="C86" s="8">
        <f t="shared" si="4"/>
        <v>0.45333333333333331</v>
      </c>
      <c r="D86" s="12">
        <f t="shared" si="5"/>
        <v>6574.2404000000097</v>
      </c>
      <c r="E86" s="12">
        <f t="shared" si="6"/>
        <v>-223263.71799999996</v>
      </c>
    </row>
    <row r="87" spans="2:5">
      <c r="B87" s="7">
        <v>69</v>
      </c>
      <c r="C87" s="8">
        <f t="shared" si="4"/>
        <v>0.46</v>
      </c>
      <c r="D87" s="12">
        <f t="shared" si="5"/>
        <v>6217.3140000000058</v>
      </c>
      <c r="E87" s="12">
        <f t="shared" si="6"/>
        <v>-232710.03999999998</v>
      </c>
    </row>
    <row r="88" spans="2:5">
      <c r="B88" s="7">
        <v>70</v>
      </c>
      <c r="C88" s="8">
        <f t="shared" si="4"/>
        <v>0.46666666666666667</v>
      </c>
      <c r="D88" s="12">
        <f t="shared" si="5"/>
        <v>5893.9260000000068</v>
      </c>
      <c r="E88" s="12">
        <f t="shared" si="6"/>
        <v>-242337.97399999996</v>
      </c>
    </row>
    <row r="89" spans="2:5">
      <c r="B89" s="7">
        <v>71</v>
      </c>
      <c r="C89" s="8">
        <f t="shared" si="4"/>
        <v>0.47333333333333333</v>
      </c>
      <c r="D89" s="12">
        <f t="shared" si="5"/>
        <v>5604.9266000000353</v>
      </c>
      <c r="E89" s="12">
        <f t="shared" si="6"/>
        <v>-252147.51999999996</v>
      </c>
    </row>
    <row r="90" spans="2:5">
      <c r="B90" s="7">
        <v>72</v>
      </c>
      <c r="C90" s="8">
        <f t="shared" si="4"/>
        <v>0.48</v>
      </c>
      <c r="D90" s="12">
        <f t="shared" si="5"/>
        <v>5351.1012000000046</v>
      </c>
      <c r="E90" s="12">
        <f t="shared" si="6"/>
        <v>-262138.67800000001</v>
      </c>
    </row>
    <row r="91" spans="2:5">
      <c r="B91" s="7">
        <v>73</v>
      </c>
      <c r="C91" s="8">
        <f t="shared" si="4"/>
        <v>0.48666666666666669</v>
      </c>
      <c r="D91" s="12">
        <f t="shared" si="5"/>
        <v>5133.1704000000318</v>
      </c>
      <c r="E91" s="12">
        <f t="shared" si="6"/>
        <v>-272311.44799999997</v>
      </c>
    </row>
    <row r="92" spans="2:5">
      <c r="B92" s="7">
        <v>74</v>
      </c>
      <c r="C92" s="8">
        <f t="shared" si="4"/>
        <v>0.49333333333333335</v>
      </c>
      <c r="D92" s="12">
        <f t="shared" si="5"/>
        <v>4951.7900000000518</v>
      </c>
      <c r="E92" s="12">
        <f t="shared" si="6"/>
        <v>-282665.82999999996</v>
      </c>
    </row>
    <row r="93" spans="2:5">
      <c r="B93" s="7">
        <v>75</v>
      </c>
      <c r="C93" s="8">
        <f t="shared" si="4"/>
        <v>0.5</v>
      </c>
      <c r="D93" s="12">
        <f t="shared" si="5"/>
        <v>4807.5509999999776</v>
      </c>
      <c r="E93" s="12">
        <f t="shared" si="6"/>
        <v>-293201.82400000002</v>
      </c>
    </row>
    <row r="94" spans="2:5">
      <c r="B94" s="7">
        <v>76</v>
      </c>
      <c r="C94" s="8">
        <f t="shared" si="4"/>
        <v>0.50666666666666671</v>
      </c>
      <c r="D94" s="12">
        <f t="shared" si="5"/>
        <v>4700.9795999999624</v>
      </c>
      <c r="E94" s="12">
        <f t="shared" si="6"/>
        <v>-303919.43</v>
      </c>
    </row>
    <row r="95" spans="2:5">
      <c r="B95" s="7">
        <v>77</v>
      </c>
      <c r="C95" s="8">
        <f t="shared" si="4"/>
        <v>0.51333333333333331</v>
      </c>
      <c r="D95" s="12">
        <f t="shared" si="5"/>
        <v>4632.5372000000061</v>
      </c>
      <c r="E95" s="12">
        <f t="shared" si="6"/>
        <v>-314818.64799999999</v>
      </c>
    </row>
    <row r="96" spans="2:5">
      <c r="B96" s="7">
        <v>78</v>
      </c>
      <c r="C96" s="8">
        <f t="shared" si="4"/>
        <v>0.52</v>
      </c>
      <c r="D96" s="12">
        <f t="shared" si="5"/>
        <v>4602.6203999999707</v>
      </c>
      <c r="E96" s="12">
        <f t="shared" si="6"/>
        <v>-325899.478</v>
      </c>
    </row>
    <row r="97" spans="2:5">
      <c r="B97" s="7">
        <v>79</v>
      </c>
      <c r="C97" s="8">
        <f t="shared" si="4"/>
        <v>0.52666666666666662</v>
      </c>
      <c r="D97" s="12">
        <f t="shared" si="5"/>
        <v>4611.5610000000597</v>
      </c>
      <c r="E97" s="12">
        <f t="shared" si="6"/>
        <v>-337161.91999999993</v>
      </c>
    </row>
    <row r="98" spans="2:5">
      <c r="B98" s="7">
        <v>80</v>
      </c>
      <c r="C98" s="8">
        <f t="shared" si="4"/>
        <v>0.53333333333333333</v>
      </c>
      <c r="D98" s="12">
        <f t="shared" si="5"/>
        <v>4659.6259999999311</v>
      </c>
      <c r="E98" s="12">
        <f t="shared" si="6"/>
        <v>-348605.97400000005</v>
      </c>
    </row>
    <row r="99" spans="2:5">
      <c r="B99" s="7">
        <v>81</v>
      </c>
      <c r="C99" s="8">
        <f t="shared" si="4"/>
        <v>0.54</v>
      </c>
      <c r="D99" s="12">
        <f t="shared" si="5"/>
        <v>4747.0176000000502</v>
      </c>
      <c r="E99" s="12">
        <f t="shared" si="6"/>
        <v>-360231.63999999996</v>
      </c>
    </row>
    <row r="100" spans="2:5">
      <c r="B100" s="7">
        <v>82</v>
      </c>
      <c r="C100" s="8">
        <f t="shared" si="4"/>
        <v>0.54666666666666663</v>
      </c>
      <c r="D100" s="12">
        <f t="shared" si="5"/>
        <v>4873.8731999999727</v>
      </c>
      <c r="E100" s="12">
        <f t="shared" si="6"/>
        <v>-372038.91800000001</v>
      </c>
    </row>
    <row r="101" spans="2:5">
      <c r="B101" s="7">
        <v>83</v>
      </c>
      <c r="C101" s="8">
        <f t="shared" si="4"/>
        <v>0.55333333333333334</v>
      </c>
      <c r="D101" s="12">
        <f t="shared" si="5"/>
        <v>5040.2654000000184</v>
      </c>
      <c r="E101" s="12">
        <f t="shared" si="6"/>
        <v>-384027.80799999996</v>
      </c>
    </row>
    <row r="102" spans="2:5">
      <c r="B102" s="7">
        <v>84</v>
      </c>
      <c r="C102" s="8">
        <f t="shared" si="4"/>
        <v>0.56000000000000005</v>
      </c>
      <c r="D102" s="12">
        <f t="shared" si="5"/>
        <v>5246.2020000000484</v>
      </c>
      <c r="E102" s="12">
        <f t="shared" si="6"/>
        <v>-396198.30999999994</v>
      </c>
    </row>
    <row r="103" spans="2:5">
      <c r="B103" s="7">
        <v>85</v>
      </c>
      <c r="C103" s="8">
        <f t="shared" si="4"/>
        <v>0.56666666666666665</v>
      </c>
      <c r="D103" s="12">
        <f t="shared" si="5"/>
        <v>5491.6260000000475</v>
      </c>
      <c r="E103" s="12">
        <f t="shared" si="6"/>
        <v>-408550.424</v>
      </c>
    </row>
    <row r="104" spans="2:5">
      <c r="B104" s="7">
        <v>86</v>
      </c>
      <c r="C104" s="8">
        <f t="shared" si="4"/>
        <v>0.57333333333333336</v>
      </c>
      <c r="D104" s="12">
        <f t="shared" si="5"/>
        <v>5776.4155999999784</v>
      </c>
      <c r="E104" s="12">
        <f t="shared" si="6"/>
        <v>-421084.14999999997</v>
      </c>
    </row>
    <row r="105" spans="2:5">
      <c r="B105" s="7">
        <v>87</v>
      </c>
      <c r="C105" s="8">
        <f t="shared" si="4"/>
        <v>0.57999999999999996</v>
      </c>
      <c r="D105" s="12">
        <f t="shared" si="5"/>
        <v>6100.3842000000586</v>
      </c>
      <c r="E105" s="12">
        <f t="shared" si="6"/>
        <v>-433799.48799999995</v>
      </c>
    </row>
    <row r="106" spans="2:5">
      <c r="B106" s="7">
        <v>88</v>
      </c>
      <c r="C106" s="8">
        <f t="shared" si="4"/>
        <v>0.58666666666666667</v>
      </c>
      <c r="D106" s="12">
        <f t="shared" si="5"/>
        <v>6463.2803999999596</v>
      </c>
      <c r="E106" s="12">
        <f t="shared" si="6"/>
        <v>-446696.43799999997</v>
      </c>
    </row>
    <row r="107" spans="2:5">
      <c r="B107" s="7">
        <v>89</v>
      </c>
      <c r="C107" s="8">
        <f t="shared" si="4"/>
        <v>0.59333333333333338</v>
      </c>
      <c r="D107" s="12">
        <f t="shared" si="5"/>
        <v>6864.7879999998841</v>
      </c>
      <c r="E107" s="12">
        <f t="shared" si="6"/>
        <v>-459775</v>
      </c>
    </row>
    <row r="108" spans="2:5">
      <c r="B108" s="7">
        <v>90</v>
      </c>
      <c r="C108" s="8">
        <f t="shared" si="4"/>
        <v>0.6</v>
      </c>
      <c r="D108" s="12">
        <f t="shared" si="5"/>
        <v>7304.5259999999544</v>
      </c>
      <c r="E108" s="12">
        <f t="shared" si="6"/>
        <v>-473035.174</v>
      </c>
    </row>
    <row r="109" spans="2:5">
      <c r="B109" s="7">
        <v>91</v>
      </c>
      <c r="C109" s="8">
        <f t="shared" si="4"/>
        <v>0.60666666666666669</v>
      </c>
      <c r="D109" s="12">
        <f t="shared" si="5"/>
        <v>7782.0485999999219</v>
      </c>
      <c r="E109" s="12">
        <f t="shared" si="6"/>
        <v>-486476.96000000008</v>
      </c>
    </row>
    <row r="110" spans="2:5">
      <c r="B110" s="7">
        <v>92</v>
      </c>
      <c r="C110" s="8">
        <f t="shared" si="4"/>
        <v>0.61333333333333329</v>
      </c>
      <c r="D110" s="12">
        <f t="shared" si="5"/>
        <v>8296.845200000098</v>
      </c>
      <c r="E110" s="12">
        <f t="shared" si="6"/>
        <v>-500100.35799999995</v>
      </c>
    </row>
    <row r="111" spans="2:5">
      <c r="B111" s="7">
        <v>93</v>
      </c>
      <c r="C111" s="8">
        <f t="shared" si="4"/>
        <v>0.62</v>
      </c>
      <c r="D111" s="12">
        <f t="shared" si="5"/>
        <v>8848.3404000000155</v>
      </c>
      <c r="E111" s="12">
        <f t="shared" si="6"/>
        <v>-513905.36799999996</v>
      </c>
    </row>
    <row r="112" spans="2:5">
      <c r="B112" s="7">
        <v>94</v>
      </c>
      <c r="C112" s="8">
        <f t="shared" si="4"/>
        <v>0.62666666666666671</v>
      </c>
      <c r="D112" s="12">
        <f t="shared" si="5"/>
        <v>9435.893999999942</v>
      </c>
      <c r="E112" s="12">
        <f t="shared" si="6"/>
        <v>-527891.99</v>
      </c>
    </row>
    <row r="113" spans="2:5">
      <c r="B113" s="7">
        <v>95</v>
      </c>
      <c r="C113" s="8">
        <f t="shared" si="4"/>
        <v>0.6333333333333333</v>
      </c>
      <c r="D113" s="12">
        <f t="shared" si="5"/>
        <v>10058.800999999978</v>
      </c>
      <c r="E113" s="12">
        <f t="shared" si="6"/>
        <v>-542060.22400000005</v>
      </c>
    </row>
    <row r="114" spans="2:5">
      <c r="B114" s="7">
        <v>96</v>
      </c>
      <c r="C114" s="8">
        <f t="shared" si="4"/>
        <v>0.64</v>
      </c>
      <c r="D114" s="12">
        <f t="shared" si="5"/>
        <v>10716.29159999988</v>
      </c>
      <c r="E114" s="12">
        <f t="shared" si="6"/>
        <v>-556410.07000000007</v>
      </c>
    </row>
    <row r="115" spans="2:5">
      <c r="B115" s="7">
        <v>97</v>
      </c>
      <c r="C115" s="8">
        <f t="shared" si="4"/>
        <v>0.64666666666666661</v>
      </c>
      <c r="D115" s="12">
        <f t="shared" si="5"/>
        <v>11407.531199999998</v>
      </c>
      <c r="E115" s="12">
        <f t="shared" si="6"/>
        <v>-570941.52799999993</v>
      </c>
    </row>
    <row r="116" spans="2:5">
      <c r="B116" s="7">
        <v>98</v>
      </c>
      <c r="C116" s="8">
        <f t="shared" si="4"/>
        <v>0.65333333333333332</v>
      </c>
      <c r="D116" s="12">
        <f t="shared" si="5"/>
        <v>12131.620399999956</v>
      </c>
      <c r="E116" s="12">
        <f t="shared" si="6"/>
        <v>-585654.598</v>
      </c>
    </row>
    <row r="117" spans="2:5">
      <c r="B117" s="7">
        <v>99</v>
      </c>
      <c r="C117" s="8">
        <f t="shared" si="4"/>
        <v>0.66</v>
      </c>
      <c r="D117" s="12">
        <f t="shared" si="5"/>
        <v>12887.594999999943</v>
      </c>
      <c r="E117" s="12">
        <f t="shared" si="6"/>
        <v>-600549.28</v>
      </c>
    </row>
    <row r="118" spans="2:5">
      <c r="B118" s="7">
        <v>100</v>
      </c>
      <c r="C118" s="8">
        <f t="shared" si="4"/>
        <v>0.66666666666666663</v>
      </c>
      <c r="D118" s="12">
        <f t="shared" si="5"/>
        <v>13674.425999999978</v>
      </c>
      <c r="E118" s="12">
        <f t="shared" si="6"/>
        <v>-615625.57400000002</v>
      </c>
    </row>
    <row r="119" spans="2:5">
      <c r="B119" s="7">
        <v>101</v>
      </c>
      <c r="C119" s="8">
        <f t="shared" si="4"/>
        <v>0.67333333333333334</v>
      </c>
      <c r="D119" s="12">
        <f t="shared" si="5"/>
        <v>14491.0196</v>
      </c>
      <c r="E119" s="12">
        <f t="shared" si="6"/>
        <v>-630883.48</v>
      </c>
    </row>
    <row r="120" spans="2:5">
      <c r="B120" s="7">
        <v>102</v>
      </c>
      <c r="C120" s="8">
        <f t="shared" si="4"/>
        <v>0.68</v>
      </c>
      <c r="D120" s="12">
        <f t="shared" si="5"/>
        <v>15336.217200000014</v>
      </c>
      <c r="E120" s="12">
        <f t="shared" si="6"/>
        <v>-646322.99799999991</v>
      </c>
    </row>
    <row r="121" spans="2:5">
      <c r="B121" s="7">
        <v>103</v>
      </c>
      <c r="C121" s="8">
        <f t="shared" si="4"/>
        <v>0.68666666666666665</v>
      </c>
      <c r="D121" s="12">
        <f t="shared" si="5"/>
        <v>16208.795399999944</v>
      </c>
      <c r="E121" s="12">
        <f t="shared" si="6"/>
        <v>-661944.12800000003</v>
      </c>
    </row>
    <row r="122" spans="2:5">
      <c r="B122" s="7">
        <v>104</v>
      </c>
      <c r="C122" s="8">
        <f t="shared" si="4"/>
        <v>0.69333333333333336</v>
      </c>
      <c r="D122" s="12">
        <f t="shared" si="5"/>
        <v>17107.465999999898</v>
      </c>
      <c r="E122" s="12">
        <f t="shared" si="6"/>
        <v>-677746.87000000011</v>
      </c>
    </row>
    <row r="123" spans="2:5">
      <c r="B123" s="7">
        <v>105</v>
      </c>
      <c r="C123" s="8">
        <f t="shared" si="4"/>
        <v>0.7</v>
      </c>
      <c r="D123" s="12">
        <f t="shared" si="5"/>
        <v>18030.875999999931</v>
      </c>
      <c r="E123" s="12">
        <f t="shared" si="6"/>
        <v>-693731.22400000005</v>
      </c>
    </row>
    <row r="124" spans="2:5">
      <c r="B124" s="7">
        <v>106</v>
      </c>
      <c r="C124" s="8">
        <f t="shared" si="4"/>
        <v>0.70666666666666667</v>
      </c>
      <c r="D124" s="12">
        <f t="shared" si="5"/>
        <v>18977.607599999872</v>
      </c>
      <c r="E124" s="12">
        <f t="shared" si="6"/>
        <v>-709897.19000000006</v>
      </c>
    </row>
    <row r="125" spans="2:5">
      <c r="B125" s="7">
        <v>107</v>
      </c>
      <c r="C125" s="8">
        <f t="shared" si="4"/>
        <v>0.71333333333333337</v>
      </c>
      <c r="D125" s="12">
        <f t="shared" si="5"/>
        <v>19946.178199999966</v>
      </c>
      <c r="E125" s="12">
        <f t="shared" si="6"/>
        <v>-726244.76799999992</v>
      </c>
    </row>
    <row r="126" spans="2:5">
      <c r="B126" s="7">
        <v>108</v>
      </c>
      <c r="C126" s="8">
        <f t="shared" si="4"/>
        <v>0.72</v>
      </c>
      <c r="D126" s="12">
        <f t="shared" si="5"/>
        <v>20935.040399999998</v>
      </c>
      <c r="E126" s="12">
        <f t="shared" si="6"/>
        <v>-742773.95799999987</v>
      </c>
    </row>
    <row r="127" spans="2:5">
      <c r="B127" s="7">
        <v>109</v>
      </c>
      <c r="C127" s="8">
        <f t="shared" si="4"/>
        <v>0.72666666666666668</v>
      </c>
      <c r="D127" s="12">
        <f t="shared" si="5"/>
        <v>21942.581999999878</v>
      </c>
      <c r="E127" s="12">
        <f t="shared" si="6"/>
        <v>-759484.76</v>
      </c>
    </row>
    <row r="128" spans="2:5">
      <c r="B128" s="7">
        <v>110</v>
      </c>
      <c r="C128" s="8">
        <f t="shared" si="4"/>
        <v>0.73333333333333328</v>
      </c>
      <c r="D128" s="12">
        <f t="shared" si="5"/>
        <v>22967.126000000164</v>
      </c>
      <c r="E128" s="12">
        <f t="shared" si="6"/>
        <v>-776377.17399999988</v>
      </c>
    </row>
    <row r="129" spans="2:5">
      <c r="B129" s="7">
        <v>111</v>
      </c>
      <c r="C129" s="8">
        <f t="shared" si="4"/>
        <v>0.74</v>
      </c>
      <c r="D129" s="12">
        <f t="shared" si="5"/>
        <v>24006.930599999905</v>
      </c>
      <c r="E129" s="12">
        <f t="shared" si="6"/>
        <v>-793451.20000000007</v>
      </c>
    </row>
    <row r="130" spans="2:5">
      <c r="B130" s="7">
        <v>112</v>
      </c>
      <c r="C130" s="8">
        <f t="shared" si="4"/>
        <v>0.7466666666666667</v>
      </c>
      <c r="D130" s="12">
        <f t="shared" si="5"/>
        <v>25060.189199999964</v>
      </c>
      <c r="E130" s="12">
        <f t="shared" si="6"/>
        <v>-810706.83799999999</v>
      </c>
    </row>
    <row r="131" spans="2:5">
      <c r="B131" s="7">
        <v>113</v>
      </c>
      <c r="C131" s="8">
        <f t="shared" si="4"/>
        <v>0.7533333333333333</v>
      </c>
      <c r="D131" s="12">
        <f t="shared" si="5"/>
        <v>26125.030400000047</v>
      </c>
      <c r="E131" s="12">
        <f t="shared" si="6"/>
        <v>-828144.08799999999</v>
      </c>
    </row>
    <row r="132" spans="2:5">
      <c r="B132" s="7">
        <v>114</v>
      </c>
      <c r="C132" s="8">
        <f t="shared" si="4"/>
        <v>0.76</v>
      </c>
      <c r="D132" s="12">
        <f t="shared" si="5"/>
        <v>27199.517999999807</v>
      </c>
      <c r="E132" s="12">
        <f t="shared" si="6"/>
        <v>-845762.95000000019</v>
      </c>
    </row>
    <row r="133" spans="2:5">
      <c r="B133" s="7">
        <v>115</v>
      </c>
      <c r="C133" s="8">
        <f t="shared" si="4"/>
        <v>0.76666666666666672</v>
      </c>
      <c r="D133" s="12">
        <f t="shared" si="5"/>
        <v>28281.651000000071</v>
      </c>
      <c r="E133" s="12">
        <f t="shared" si="6"/>
        <v>-863563.42399999988</v>
      </c>
    </row>
    <row r="134" spans="2:5">
      <c r="B134" s="7">
        <v>116</v>
      </c>
      <c r="C134" s="8">
        <f t="shared" si="4"/>
        <v>0.77333333333333332</v>
      </c>
      <c r="D134" s="12">
        <f t="shared" si="5"/>
        <v>29369.363599999866</v>
      </c>
      <c r="E134" s="12">
        <f t="shared" si="6"/>
        <v>-881545.51000000013</v>
      </c>
    </row>
    <row r="135" spans="2:5">
      <c r="B135" s="7">
        <v>117</v>
      </c>
      <c r="C135" s="8">
        <f t="shared" si="4"/>
        <v>0.78</v>
      </c>
      <c r="D135" s="12">
        <f t="shared" si="5"/>
        <v>30460.525199999858</v>
      </c>
      <c r="E135" s="12">
        <f t="shared" si="6"/>
        <v>-899709.2080000001</v>
      </c>
    </row>
    <row r="136" spans="2:5">
      <c r="B136" s="7">
        <v>118</v>
      </c>
      <c r="C136" s="8">
        <f t="shared" si="4"/>
        <v>0.78666666666666663</v>
      </c>
      <c r="D136" s="12">
        <f t="shared" si="5"/>
        <v>31552.940399999963</v>
      </c>
      <c r="E136" s="12">
        <f t="shared" si="6"/>
        <v>-918054.51799999992</v>
      </c>
    </row>
    <row r="137" spans="2:5">
      <c r="B137" s="7">
        <v>119</v>
      </c>
      <c r="C137" s="8">
        <f t="shared" si="4"/>
        <v>0.79333333333333333</v>
      </c>
      <c r="D137" s="12">
        <f t="shared" si="5"/>
        <v>32644.348999999813</v>
      </c>
      <c r="E137" s="12">
        <f t="shared" si="6"/>
        <v>-936581.44000000018</v>
      </c>
    </row>
    <row r="138" spans="2:5">
      <c r="B138" s="7">
        <v>120</v>
      </c>
      <c r="C138" s="8">
        <f t="shared" si="4"/>
        <v>0.8</v>
      </c>
      <c r="D138" s="12">
        <f t="shared" si="5"/>
        <v>33732.425999999978</v>
      </c>
      <c r="E138" s="12">
        <f t="shared" si="6"/>
        <v>-955289.97399999993</v>
      </c>
    </row>
    <row r="139" spans="2:5">
      <c r="B139" s="7">
        <v>121</v>
      </c>
      <c r="C139" s="8">
        <f t="shared" si="4"/>
        <v>0.80666666666666664</v>
      </c>
      <c r="D139" s="12">
        <f t="shared" si="5"/>
        <v>34814.781600000104</v>
      </c>
      <c r="E139" s="12">
        <f t="shared" si="6"/>
        <v>-974180.12</v>
      </c>
    </row>
    <row r="140" spans="2:5">
      <c r="B140" s="7">
        <v>122</v>
      </c>
      <c r="C140" s="8">
        <f t="shared" si="4"/>
        <v>0.81333333333333335</v>
      </c>
      <c r="D140" s="12">
        <f t="shared" si="5"/>
        <v>35888.961199999903</v>
      </c>
      <c r="E140" s="12">
        <f t="shared" si="6"/>
        <v>-993251.87800000003</v>
      </c>
    </row>
    <row r="141" spans="2:5">
      <c r="B141" s="7">
        <v>123</v>
      </c>
      <c r="C141" s="8">
        <f t="shared" si="4"/>
        <v>0.82</v>
      </c>
      <c r="D141" s="12">
        <f t="shared" si="5"/>
        <v>36952.445399999968</v>
      </c>
      <c r="E141" s="12">
        <f t="shared" si="6"/>
        <v>-1012505.2479999999</v>
      </c>
    </row>
    <row r="142" spans="2:5">
      <c r="B142" s="7">
        <v>124</v>
      </c>
      <c r="C142" s="8">
        <f t="shared" si="4"/>
        <v>0.82666666666666666</v>
      </c>
      <c r="D142" s="12">
        <f t="shared" si="5"/>
        <v>38002.649999999907</v>
      </c>
      <c r="E142" s="12">
        <f t="shared" si="6"/>
        <v>-1031940.23</v>
      </c>
    </row>
    <row r="143" spans="2:5">
      <c r="B143" s="7">
        <v>125</v>
      </c>
      <c r="C143" s="8">
        <f t="shared" si="4"/>
        <v>0.83333333333333337</v>
      </c>
      <c r="D143" s="12">
        <f t="shared" si="5"/>
        <v>39036.925999999978</v>
      </c>
      <c r="E143" s="12">
        <f t="shared" si="6"/>
        <v>-1051556.824</v>
      </c>
    </row>
    <row r="144" spans="2:5">
      <c r="B144" s="7">
        <v>126</v>
      </c>
      <c r="C144" s="8">
        <f t="shared" si="4"/>
        <v>0.84</v>
      </c>
      <c r="D144" s="12">
        <f t="shared" si="5"/>
        <v>40052.559600000153</v>
      </c>
      <c r="E144" s="12">
        <f t="shared" si="6"/>
        <v>-1071355.0299999998</v>
      </c>
    </row>
    <row r="145" spans="2:5">
      <c r="B145" s="7">
        <v>127</v>
      </c>
      <c r="C145" s="8">
        <f t="shared" si="4"/>
        <v>0.84666666666666668</v>
      </c>
      <c r="D145" s="12">
        <f t="shared" si="5"/>
        <v>41046.772200000007</v>
      </c>
      <c r="E145" s="12">
        <f t="shared" si="6"/>
        <v>-1091334.848</v>
      </c>
    </row>
    <row r="146" spans="2:5">
      <c r="B146" s="7">
        <v>128</v>
      </c>
      <c r="C146" s="8">
        <f t="shared" si="4"/>
        <v>0.85333333333333339</v>
      </c>
      <c r="D146" s="12">
        <f t="shared" si="5"/>
        <v>42016.720399999991</v>
      </c>
      <c r="E146" s="12">
        <f t="shared" si="6"/>
        <v>-1111496.2779999999</v>
      </c>
    </row>
    <row r="147" spans="2:5">
      <c r="B147" s="7">
        <v>129</v>
      </c>
      <c r="C147" s="8">
        <f t="shared" ref="C147:C168" si="7">B147/$B$168</f>
        <v>0.86</v>
      </c>
      <c r="D147" s="12">
        <f t="shared" ref="D147:D168" si="8">$E$3+$E$4*B147+E$5*B147^2+$E$6*B147^3+$E$7*B147^4</f>
        <v>42959.495999999926</v>
      </c>
      <c r="E147" s="12">
        <f t="shared" ref="E147:E168" si="9">$F$3+$F$4*B147+$F$5*B147^2</f>
        <v>-1131839.32</v>
      </c>
    </row>
    <row r="148" spans="2:5">
      <c r="B148" s="7">
        <v>130</v>
      </c>
      <c r="C148" s="8">
        <f t="shared" si="7"/>
        <v>0.8666666666666667</v>
      </c>
      <c r="D148" s="12">
        <f t="shared" si="8"/>
        <v>43872.125999999931</v>
      </c>
      <c r="E148" s="12">
        <f t="shared" si="9"/>
        <v>-1152363.9739999999</v>
      </c>
    </row>
    <row r="149" spans="2:5">
      <c r="B149" s="7">
        <v>131</v>
      </c>
      <c r="C149" s="8">
        <f t="shared" si="7"/>
        <v>0.87333333333333329</v>
      </c>
      <c r="D149" s="12">
        <f t="shared" si="8"/>
        <v>44751.572599999607</v>
      </c>
      <c r="E149" s="12">
        <f t="shared" si="9"/>
        <v>-1173070.2400000002</v>
      </c>
    </row>
    <row r="150" spans="2:5">
      <c r="B150" s="7">
        <v>132</v>
      </c>
      <c r="C150" s="8">
        <f t="shared" si="7"/>
        <v>0.88</v>
      </c>
      <c r="D150" s="12">
        <f t="shared" si="8"/>
        <v>45594.733199999901</v>
      </c>
      <c r="E150" s="12">
        <f t="shared" si="9"/>
        <v>-1193958.118</v>
      </c>
    </row>
    <row r="151" spans="2:5">
      <c r="B151" s="7">
        <v>133</v>
      </c>
      <c r="C151" s="8">
        <f t="shared" si="7"/>
        <v>0.88666666666666671</v>
      </c>
      <c r="D151" s="12">
        <f t="shared" si="8"/>
        <v>46398.440399999847</v>
      </c>
      <c r="E151" s="12">
        <f t="shared" si="9"/>
        <v>-1215027.608</v>
      </c>
    </row>
    <row r="152" spans="2:5">
      <c r="B152" s="7">
        <v>134</v>
      </c>
      <c r="C152" s="8">
        <f t="shared" si="7"/>
        <v>0.89333333333333331</v>
      </c>
      <c r="D152" s="12">
        <f t="shared" si="8"/>
        <v>47159.462000000058</v>
      </c>
      <c r="E152" s="12">
        <f t="shared" si="9"/>
        <v>-1236278.71</v>
      </c>
    </row>
    <row r="153" spans="2:5">
      <c r="B153" s="7">
        <v>135</v>
      </c>
      <c r="C153" s="8">
        <f t="shared" si="7"/>
        <v>0.9</v>
      </c>
      <c r="D153" s="12">
        <f t="shared" si="8"/>
        <v>47874.500999999931</v>
      </c>
      <c r="E153" s="12">
        <f t="shared" si="9"/>
        <v>-1257711.4239999999</v>
      </c>
    </row>
    <row r="154" spans="2:5">
      <c r="B154" s="7">
        <v>136</v>
      </c>
      <c r="C154" s="8">
        <f t="shared" si="7"/>
        <v>0.90666666666666662</v>
      </c>
      <c r="D154" s="12">
        <f t="shared" si="8"/>
        <v>48540.195599999744</v>
      </c>
      <c r="E154" s="12">
        <f t="shared" si="9"/>
        <v>-1279325.75</v>
      </c>
    </row>
    <row r="155" spans="2:5">
      <c r="B155" s="7">
        <v>137</v>
      </c>
      <c r="C155" s="8">
        <f t="shared" si="7"/>
        <v>0.91333333333333333</v>
      </c>
      <c r="D155" s="12">
        <f t="shared" si="8"/>
        <v>49153.119199999725</v>
      </c>
      <c r="E155" s="12">
        <f t="shared" si="9"/>
        <v>-1301121.6880000001</v>
      </c>
    </row>
    <row r="156" spans="2:5">
      <c r="B156" s="7">
        <v>138</v>
      </c>
      <c r="C156" s="8">
        <f t="shared" si="7"/>
        <v>0.92</v>
      </c>
      <c r="D156" s="12">
        <f t="shared" si="8"/>
        <v>49709.780399999931</v>
      </c>
      <c r="E156" s="12">
        <f t="shared" si="9"/>
        <v>-1323099.2379999999</v>
      </c>
    </row>
    <row r="157" spans="2:5">
      <c r="B157" s="7">
        <v>139</v>
      </c>
      <c r="C157" s="8">
        <f t="shared" si="7"/>
        <v>0.92666666666666664</v>
      </c>
      <c r="D157" s="12">
        <f t="shared" si="8"/>
        <v>50206.622999999672</v>
      </c>
      <c r="E157" s="12">
        <f t="shared" si="9"/>
        <v>-1345258.4000000001</v>
      </c>
    </row>
    <row r="158" spans="2:5">
      <c r="B158" s="7">
        <v>140</v>
      </c>
      <c r="C158" s="8">
        <f t="shared" si="7"/>
        <v>0.93333333333333335</v>
      </c>
      <c r="D158" s="12">
        <f t="shared" si="8"/>
        <v>50640.025999999838</v>
      </c>
      <c r="E158" s="12">
        <f t="shared" si="9"/>
        <v>-1367599.1739999999</v>
      </c>
    </row>
    <row r="159" spans="2:5">
      <c r="B159" s="7">
        <v>141</v>
      </c>
      <c r="C159" s="8">
        <f t="shared" si="7"/>
        <v>0.94</v>
      </c>
      <c r="D159" s="12">
        <f t="shared" si="8"/>
        <v>51006.303599999519</v>
      </c>
      <c r="E159" s="12">
        <f t="shared" si="9"/>
        <v>-1390121.56</v>
      </c>
    </row>
    <row r="160" spans="2:5">
      <c r="B160" s="7">
        <v>142</v>
      </c>
      <c r="C160" s="8">
        <f t="shared" si="7"/>
        <v>0.94666666666666666</v>
      </c>
      <c r="D160" s="12">
        <f t="shared" si="8"/>
        <v>51301.705199999968</v>
      </c>
      <c r="E160" s="12">
        <f t="shared" si="9"/>
        <v>-1412825.558</v>
      </c>
    </row>
    <row r="161" spans="2:5">
      <c r="B161" s="7">
        <v>143</v>
      </c>
      <c r="C161" s="8">
        <f t="shared" si="7"/>
        <v>0.95333333333333337</v>
      </c>
      <c r="D161" s="12">
        <f t="shared" si="8"/>
        <v>51522.415399999823</v>
      </c>
      <c r="E161" s="12">
        <f t="shared" si="9"/>
        <v>-1435711.1679999998</v>
      </c>
    </row>
    <row r="162" spans="2:5">
      <c r="B162" s="7">
        <v>144</v>
      </c>
      <c r="C162" s="8">
        <f t="shared" si="7"/>
        <v>0.96</v>
      </c>
      <c r="D162" s="12">
        <f t="shared" si="8"/>
        <v>51664.554000000004</v>
      </c>
      <c r="E162" s="12">
        <f t="shared" si="9"/>
        <v>-1458778.3900000001</v>
      </c>
    </row>
    <row r="163" spans="2:5">
      <c r="B163" s="7">
        <v>145</v>
      </c>
      <c r="C163" s="8">
        <f t="shared" si="7"/>
        <v>0.96666666666666667</v>
      </c>
      <c r="D163" s="12">
        <f t="shared" si="8"/>
        <v>51724.175999999978</v>
      </c>
      <c r="E163" s="12">
        <f t="shared" si="9"/>
        <v>-1482027.2239999999</v>
      </c>
    </row>
    <row r="164" spans="2:5">
      <c r="B164" s="7">
        <v>146</v>
      </c>
      <c r="C164" s="8">
        <f t="shared" si="7"/>
        <v>0.97333333333333338</v>
      </c>
      <c r="D164" s="12">
        <f t="shared" si="8"/>
        <v>51697.271600000095</v>
      </c>
      <c r="E164" s="12">
        <f t="shared" si="9"/>
        <v>-1505457.67</v>
      </c>
    </row>
    <row r="165" spans="2:5">
      <c r="B165" s="7">
        <v>147</v>
      </c>
      <c r="C165" s="8">
        <f t="shared" si="7"/>
        <v>0.98</v>
      </c>
      <c r="D165" s="12">
        <f t="shared" si="8"/>
        <v>51579.766199999722</v>
      </c>
      <c r="E165" s="12">
        <f t="shared" si="9"/>
        <v>-1529069.7280000001</v>
      </c>
    </row>
    <row r="166" spans="2:5">
      <c r="B166" s="7">
        <v>148</v>
      </c>
      <c r="C166" s="8">
        <f t="shared" si="7"/>
        <v>0.98666666666666669</v>
      </c>
      <c r="D166" s="12">
        <f t="shared" si="8"/>
        <v>51367.52040000027</v>
      </c>
      <c r="E166" s="12">
        <f t="shared" si="9"/>
        <v>-1552863.3979999998</v>
      </c>
    </row>
    <row r="167" spans="2:5">
      <c r="B167" s="7">
        <v>149</v>
      </c>
      <c r="C167" s="8">
        <f t="shared" si="7"/>
        <v>0.99333333333333329</v>
      </c>
      <c r="D167" s="12">
        <f t="shared" si="8"/>
        <v>51056.329999999609</v>
      </c>
      <c r="E167" s="12">
        <f t="shared" si="9"/>
        <v>-1576838.6800000002</v>
      </c>
    </row>
    <row r="168" spans="2:5">
      <c r="B168" s="7">
        <v>150</v>
      </c>
      <c r="C168" s="8">
        <f t="shared" si="7"/>
        <v>1</v>
      </c>
      <c r="D168" s="12">
        <f t="shared" si="8"/>
        <v>50641.925999999978</v>
      </c>
      <c r="E168" s="12">
        <f t="shared" si="9"/>
        <v>-1600995.574</v>
      </c>
    </row>
  </sheetData>
  <mergeCells count="3">
    <mergeCell ref="B1:C1"/>
    <mergeCell ref="D1:E1"/>
    <mergeCell ref="B16:D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4D2E1-888E-2745-8EAA-80955DCE084A}">
  <dimension ref="A1:I53"/>
  <sheetViews>
    <sheetView zoomScale="80" zoomScaleNormal="80" workbookViewId="0">
      <selection activeCell="F12" sqref="F12"/>
    </sheetView>
  </sheetViews>
  <sheetFormatPr baseColWidth="10" defaultRowHeight="16"/>
  <cols>
    <col min="1" max="1" width="14.5" bestFit="1" customWidth="1"/>
    <col min="3" max="3" width="14.5" bestFit="1" customWidth="1"/>
    <col min="4" max="4" width="11" bestFit="1" customWidth="1"/>
    <col min="5" max="5" width="14.5" bestFit="1" customWidth="1"/>
    <col min="6" max="6" width="11.5" customWidth="1"/>
    <col min="8" max="8" width="34" bestFit="1" customWidth="1"/>
  </cols>
  <sheetData>
    <row r="1" spans="1:9">
      <c r="A1" s="134" t="s">
        <v>50</v>
      </c>
      <c r="B1" s="134"/>
      <c r="C1" s="135" t="s">
        <v>54</v>
      </c>
      <c r="D1" s="135"/>
      <c r="E1" s="136" t="s">
        <v>51</v>
      </c>
      <c r="F1" s="136"/>
    </row>
    <row r="2" spans="1:9">
      <c r="A2" s="31" t="s">
        <v>45</v>
      </c>
      <c r="B2" s="31" t="s">
        <v>46</v>
      </c>
      <c r="C2" s="36" t="s">
        <v>45</v>
      </c>
      <c r="D2" s="36" t="s">
        <v>46</v>
      </c>
      <c r="E2" s="32" t="s">
        <v>45</v>
      </c>
      <c r="F2" s="32"/>
      <c r="H2" s="38" t="s">
        <v>49</v>
      </c>
      <c r="I2" s="39">
        <f>(B16*(A13-A3)+D21*(C19-C4)+F16*(E7-E3))/((A13-A3)+(C19-C4)+(E7-E3))</f>
        <v>-7.1617328488423518E-2</v>
      </c>
    </row>
    <row r="3" spans="1:9">
      <c r="A3" s="33">
        <v>2014</v>
      </c>
      <c r="B3" s="46">
        <v>1100</v>
      </c>
      <c r="C3" s="45">
        <v>2014</v>
      </c>
      <c r="D3" s="47">
        <f>D4*(1-$D$21)</f>
        <v>1492.8738586103007</v>
      </c>
      <c r="E3" s="34">
        <v>2014</v>
      </c>
      <c r="F3" s="51">
        <v>1400</v>
      </c>
    </row>
    <row r="4" spans="1:9">
      <c r="A4" s="33">
        <v>2015</v>
      </c>
      <c r="B4" s="46">
        <f t="shared" ref="B4:B12" si="0">B3*(1+$B$16)</f>
        <v>1037.0182517702588</v>
      </c>
      <c r="C4" s="37">
        <v>2015</v>
      </c>
      <c r="D4" s="48">
        <v>1400</v>
      </c>
      <c r="E4" s="34">
        <v>2015</v>
      </c>
      <c r="F4" s="51">
        <f>F3*(1+$F$16)</f>
        <v>1221.7575572712149</v>
      </c>
    </row>
    <row r="5" spans="1:9">
      <c r="A5" s="33">
        <v>2016</v>
      </c>
      <c r="B5" s="46">
        <f t="shared" si="0"/>
        <v>977.64259500422156</v>
      </c>
      <c r="C5" s="37">
        <v>2016</v>
      </c>
      <c r="D5" s="48">
        <f>D4*(1+$D$21)</f>
        <v>1307.1261413896993</v>
      </c>
      <c r="E5" s="34">
        <v>2016</v>
      </c>
      <c r="F5" s="51">
        <f t="shared" ref="F5:F7" si="1">F4*(1+$F$16)</f>
        <v>1066.2082348209472</v>
      </c>
    </row>
    <row r="6" spans="1:9">
      <c r="A6" s="33">
        <v>2017</v>
      </c>
      <c r="B6" s="46">
        <f t="shared" si="0"/>
        <v>921.66655884310626</v>
      </c>
      <c r="C6" s="37">
        <v>2017</v>
      </c>
      <c r="D6" s="48">
        <f t="shared" ref="D6:D18" si="2">D5*(1+$D$21)</f>
        <v>1220.4133925030887</v>
      </c>
      <c r="E6" s="34">
        <v>2017</v>
      </c>
      <c r="F6" s="51">
        <f t="shared" si="1"/>
        <v>930.46283465521026</v>
      </c>
    </row>
    <row r="7" spans="1:9">
      <c r="A7" s="33">
        <v>2018</v>
      </c>
      <c r="B7" s="46">
        <f t="shared" si="0"/>
        <v>868.89549415144393</v>
      </c>
      <c r="C7" s="37">
        <v>2018</v>
      </c>
      <c r="D7" s="48">
        <f t="shared" si="2"/>
        <v>1139.4530347449106</v>
      </c>
      <c r="E7" s="34">
        <v>2018</v>
      </c>
      <c r="F7" s="51">
        <f t="shared" si="1"/>
        <v>812.00000000000011</v>
      </c>
    </row>
    <row r="8" spans="1:9">
      <c r="A8" s="33">
        <v>2019</v>
      </c>
      <c r="B8" s="46">
        <f t="shared" si="0"/>
        <v>819.14589665089591</v>
      </c>
      <c r="C8" s="125">
        <v>2019</v>
      </c>
      <c r="D8" s="126">
        <f t="shared" si="2"/>
        <v>1063.8634632863557</v>
      </c>
      <c r="E8" s="34"/>
      <c r="F8" s="35"/>
    </row>
    <row r="9" spans="1:9">
      <c r="A9" s="33">
        <v>2020</v>
      </c>
      <c r="B9" s="46">
        <f t="shared" si="0"/>
        <v>772.24476880881195</v>
      </c>
      <c r="C9" s="37">
        <v>2020</v>
      </c>
      <c r="D9" s="48">
        <f t="shared" si="2"/>
        <v>993.28838837926867</v>
      </c>
      <c r="E9" s="34"/>
      <c r="F9" s="35"/>
    </row>
    <row r="10" spans="1:9">
      <c r="A10" s="33">
        <v>2021</v>
      </c>
      <c r="B10" s="46">
        <f t="shared" si="0"/>
        <v>728.02901826258346</v>
      </c>
      <c r="C10" s="37">
        <v>2021</v>
      </c>
      <c r="D10" s="48">
        <f t="shared" si="2"/>
        <v>927.39515599241884</v>
      </c>
      <c r="E10" s="34"/>
      <c r="F10" s="35"/>
    </row>
    <row r="11" spans="1:9">
      <c r="A11" s="33">
        <v>2022</v>
      </c>
      <c r="B11" s="46">
        <f t="shared" si="0"/>
        <v>686.34489068789276</v>
      </c>
      <c r="C11" s="37">
        <v>2022</v>
      </c>
      <c r="D11" s="48">
        <f t="shared" si="2"/>
        <v>865.8731798541919</v>
      </c>
      <c r="E11" s="34"/>
      <c r="F11" s="35"/>
    </row>
    <row r="12" spans="1:9">
      <c r="A12" s="33">
        <v>2023</v>
      </c>
      <c r="B12" s="46">
        <f t="shared" si="0"/>
        <v>647.04743513873439</v>
      </c>
      <c r="C12" s="37">
        <v>2023</v>
      </c>
      <c r="D12" s="48">
        <f t="shared" si="2"/>
        <v>808.43247751117065</v>
      </c>
      <c r="E12" s="34"/>
      <c r="F12" s="35"/>
    </row>
    <row r="13" spans="1:9">
      <c r="A13" s="33">
        <v>2024</v>
      </c>
      <c r="B13" s="46">
        <v>610</v>
      </c>
      <c r="C13" s="37">
        <v>2024</v>
      </c>
      <c r="D13" s="48">
        <f t="shared" si="2"/>
        <v>754.80230350235092</v>
      </c>
      <c r="E13" s="34"/>
      <c r="F13" s="34"/>
    </row>
    <row r="14" spans="1:9">
      <c r="A14" s="33"/>
      <c r="B14" s="33"/>
      <c r="C14" s="37">
        <v>2025</v>
      </c>
      <c r="D14" s="48">
        <f t="shared" si="2"/>
        <v>704.72987320648906</v>
      </c>
      <c r="E14" s="34"/>
      <c r="F14" s="34"/>
    </row>
    <row r="15" spans="1:9">
      <c r="A15" s="33" t="s">
        <v>47</v>
      </c>
      <c r="B15" s="33" t="s">
        <v>48</v>
      </c>
      <c r="C15" s="37">
        <v>2026</v>
      </c>
      <c r="D15" s="48">
        <f t="shared" si="2"/>
        <v>657.97917134746433</v>
      </c>
      <c r="E15" s="34" t="s">
        <v>47</v>
      </c>
      <c r="F15" s="34" t="s">
        <v>48</v>
      </c>
    </row>
    <row r="16" spans="1:9">
      <c r="A16" s="49">
        <f>(B13-B3)/B3</f>
        <v>-0.44545454545454544</v>
      </c>
      <c r="B16" s="40">
        <f>((1+A16)^(1/(A13-A3)))-1</f>
        <v>-5.7256134754310239E-2</v>
      </c>
      <c r="C16" s="37">
        <v>2027</v>
      </c>
      <c r="D16" s="48">
        <f t="shared" si="2"/>
        <v>614.32983954157339</v>
      </c>
      <c r="E16" s="34">
        <v>-0.42</v>
      </c>
      <c r="F16" s="42">
        <f>((1+E16)^(1/(E7-E3)))-1</f>
        <v>-0.12731603052056073</v>
      </c>
    </row>
    <row r="17" spans="3:4">
      <c r="C17" s="37">
        <v>2028</v>
      </c>
      <c r="D17" s="48">
        <f t="shared" si="2"/>
        <v>573.5761376432356</v>
      </c>
    </row>
    <row r="18" spans="3:4">
      <c r="C18" s="37">
        <v>2029</v>
      </c>
      <c r="D18" s="48">
        <f t="shared" si="2"/>
        <v>535.5259739934354</v>
      </c>
    </row>
    <row r="19" spans="3:4">
      <c r="C19" s="37">
        <v>2030</v>
      </c>
      <c r="D19" s="48">
        <v>500</v>
      </c>
    </row>
    <row r="20" spans="3:4">
      <c r="C20" s="37" t="s">
        <v>47</v>
      </c>
      <c r="D20" s="37" t="s">
        <v>48</v>
      </c>
    </row>
    <row r="21" spans="3:4">
      <c r="C21" s="50">
        <f>(D19-D4)/D4</f>
        <v>-0.6428571428571429</v>
      </c>
      <c r="D21" s="41">
        <f>((1+C21)^(1/(C19-C4)))-1</f>
        <v>-6.6338470435929109E-2</v>
      </c>
    </row>
    <row r="35" spans="2:6">
      <c r="B35" s="9"/>
      <c r="D35" s="9"/>
      <c r="F35" s="9"/>
    </row>
    <row r="36" spans="2:6">
      <c r="B36" s="9"/>
      <c r="D36" s="9"/>
      <c r="F36" s="9"/>
    </row>
    <row r="37" spans="2:6">
      <c r="B37" s="9"/>
      <c r="D37" s="9"/>
      <c r="F37" s="9"/>
    </row>
    <row r="38" spans="2:6">
      <c r="B38" s="9"/>
      <c r="D38" s="9"/>
      <c r="F38" s="9"/>
    </row>
    <row r="39" spans="2:6">
      <c r="B39" s="9"/>
      <c r="D39" s="9"/>
      <c r="F39" s="9"/>
    </row>
    <row r="40" spans="2:6">
      <c r="B40" s="9"/>
      <c r="D40" s="9"/>
    </row>
    <row r="41" spans="2:6">
      <c r="B41" s="9"/>
      <c r="D41" s="9"/>
    </row>
    <row r="42" spans="2:6">
      <c r="B42" s="9"/>
      <c r="D42" s="9"/>
    </row>
    <row r="43" spans="2:6">
      <c r="B43" s="9"/>
      <c r="D43" s="9"/>
    </row>
    <row r="44" spans="2:6">
      <c r="B44" s="9"/>
      <c r="D44" s="9"/>
    </row>
    <row r="45" spans="2:6">
      <c r="B45" s="9"/>
      <c r="D45" s="9"/>
    </row>
    <row r="46" spans="2:6">
      <c r="D46" s="9"/>
    </row>
    <row r="47" spans="2:6">
      <c r="D47" s="9"/>
    </row>
    <row r="48" spans="2:6">
      <c r="D48" s="9"/>
    </row>
    <row r="49" spans="1:6">
      <c r="D49" s="9"/>
    </row>
    <row r="50" spans="1:6">
      <c r="D50" s="9"/>
    </row>
    <row r="51" spans="1:6">
      <c r="D51" s="9"/>
    </row>
    <row r="53" spans="1:6">
      <c r="A53" s="52"/>
      <c r="B53" s="52"/>
      <c r="C53" s="52"/>
      <c r="D53" s="52"/>
      <c r="E53" s="52"/>
      <c r="F53" s="52"/>
    </row>
  </sheetData>
  <mergeCells count="3">
    <mergeCell ref="A1:B1"/>
    <mergeCell ref="C1:D1"/>
    <mergeCell ref="E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0E0DF-99A5-4947-884F-7D6D72824FA1}">
  <dimension ref="A1:S27"/>
  <sheetViews>
    <sheetView tabSelected="1" zoomScale="80" zoomScaleNormal="80" workbookViewId="0">
      <selection activeCell="P7" sqref="P7"/>
    </sheetView>
  </sheetViews>
  <sheetFormatPr baseColWidth="10" defaultRowHeight="16"/>
  <cols>
    <col min="1" max="1" width="33.83203125" style="15" customWidth="1"/>
    <col min="2" max="2" width="26.33203125" style="15" bestFit="1" customWidth="1"/>
    <col min="3" max="3" width="30.5" style="15" customWidth="1"/>
    <col min="4" max="4" width="12.33203125" style="15" bestFit="1" customWidth="1"/>
    <col min="5" max="5" width="13.33203125" style="15" customWidth="1"/>
    <col min="6" max="6" width="13.5" style="15" bestFit="1" customWidth="1"/>
    <col min="7" max="7" width="19.33203125" style="15" bestFit="1" customWidth="1"/>
    <col min="8" max="16384" width="10.83203125" style="15"/>
  </cols>
  <sheetData>
    <row r="1" spans="1:19" ht="17">
      <c r="A1" s="53" t="s">
        <v>0</v>
      </c>
      <c r="B1" s="119" t="s">
        <v>10</v>
      </c>
      <c r="C1" s="120" t="s">
        <v>76</v>
      </c>
      <c r="D1" s="127" t="s">
        <v>31</v>
      </c>
      <c r="E1" s="128" t="s">
        <v>32</v>
      </c>
      <c r="H1" s="16"/>
    </row>
    <row r="2" spans="1:19" ht="17">
      <c r="A2" s="121" t="s">
        <v>6</v>
      </c>
      <c r="B2" s="123">
        <v>0.24</v>
      </c>
      <c r="C2" s="122" t="s">
        <v>63</v>
      </c>
      <c r="D2" s="63" t="s">
        <v>33</v>
      </c>
      <c r="E2" s="26" t="s">
        <v>34</v>
      </c>
    </row>
    <row r="3" spans="1:19" ht="34">
      <c r="A3" s="60" t="s">
        <v>67</v>
      </c>
      <c r="B3" s="61">
        <f>LOOKUP(B2,'Input regression PV'!C18:C168,'Input regression PV'!$B$18:$B$168)</f>
        <v>36</v>
      </c>
      <c r="C3" s="62" t="s">
        <v>60</v>
      </c>
      <c r="D3" s="129" t="s">
        <v>35</v>
      </c>
      <c r="E3" s="130" t="s">
        <v>36</v>
      </c>
    </row>
    <row r="4" spans="1:19" ht="35" thickBot="1">
      <c r="A4" s="64" t="s">
        <v>40</v>
      </c>
      <c r="B4" s="117" t="s">
        <v>41</v>
      </c>
      <c r="C4" s="69" t="s">
        <v>43</v>
      </c>
      <c r="D4" s="64" t="s">
        <v>58</v>
      </c>
      <c r="E4" s="69" t="s">
        <v>59</v>
      </c>
    </row>
    <row r="5" spans="1:19" ht="17">
      <c r="A5" s="53" t="s">
        <v>22</v>
      </c>
      <c r="B5" s="20"/>
      <c r="C5" s="21"/>
      <c r="D5" s="14" t="s">
        <v>76</v>
      </c>
      <c r="O5" s="14" t="s">
        <v>96</v>
      </c>
      <c r="P5" s="14" t="s">
        <v>92</v>
      </c>
      <c r="Q5" s="14" t="s">
        <v>93</v>
      </c>
      <c r="R5" s="14" t="s">
        <v>94</v>
      </c>
      <c r="S5" s="14" t="s">
        <v>95</v>
      </c>
    </row>
    <row r="6" spans="1:19" ht="17">
      <c r="A6" s="22" t="s">
        <v>2</v>
      </c>
      <c r="B6" s="23" t="s">
        <v>55</v>
      </c>
      <c r="C6" s="24" t="s">
        <v>56</v>
      </c>
      <c r="F6" s="18"/>
      <c r="O6" s="15" t="s">
        <v>29</v>
      </c>
      <c r="P6" s="15" t="s">
        <v>98</v>
      </c>
    </row>
    <row r="7" spans="1:19" ht="17">
      <c r="A7" s="22" t="s">
        <v>57</v>
      </c>
      <c r="B7" s="25">
        <v>12</v>
      </c>
      <c r="C7" s="26">
        <v>70</v>
      </c>
      <c r="D7" s="17" t="s">
        <v>75</v>
      </c>
      <c r="F7" s="18"/>
      <c r="O7" s="15" t="s">
        <v>97</v>
      </c>
    </row>
    <row r="8" spans="1:19" ht="17">
      <c r="A8" s="22" t="s">
        <v>3</v>
      </c>
      <c r="B8" s="25">
        <v>7</v>
      </c>
      <c r="C8" s="26">
        <v>1</v>
      </c>
      <c r="D8" s="17" t="s">
        <v>75</v>
      </c>
      <c r="O8" s="15" t="s">
        <v>97</v>
      </c>
    </row>
    <row r="9" spans="1:19" ht="17">
      <c r="A9" s="22" t="s">
        <v>52</v>
      </c>
      <c r="B9" s="54">
        <f>'Battery cost trend'!D8*INPUTS!B7</f>
        <v>12766.361559436267</v>
      </c>
      <c r="C9" s="55">
        <f>'Battery cost trend'!D8*C7</f>
        <v>74470.442430044903</v>
      </c>
      <c r="D9" s="15" t="s">
        <v>60</v>
      </c>
      <c r="O9" s="15" t="s">
        <v>97</v>
      </c>
    </row>
    <row r="10" spans="1:19" ht="17">
      <c r="A10" s="22" t="s">
        <v>7</v>
      </c>
      <c r="B10" s="25">
        <v>8</v>
      </c>
      <c r="C10" s="26">
        <v>8</v>
      </c>
      <c r="D10" s="17" t="s">
        <v>75</v>
      </c>
      <c r="O10" s="15" t="s">
        <v>97</v>
      </c>
    </row>
    <row r="11" spans="1:19" ht="35" thickBot="1">
      <c r="A11" s="28" t="s">
        <v>4</v>
      </c>
      <c r="B11" s="29" t="s">
        <v>8</v>
      </c>
      <c r="C11" s="30" t="s">
        <v>28</v>
      </c>
      <c r="D11" s="17" t="s">
        <v>75</v>
      </c>
      <c r="O11" s="15" t="s">
        <v>97</v>
      </c>
    </row>
    <row r="12" spans="1:19" ht="17">
      <c r="A12" s="19" t="s">
        <v>78</v>
      </c>
      <c r="B12" s="56">
        <f>LOOKUP(INPUTS!$B$2,'Input regression PV'!$C$18:$C$168,'Input regression PV'!$D$18:$D$168)</f>
        <v>27223.635600000001</v>
      </c>
      <c r="C12" s="21" t="s">
        <v>60</v>
      </c>
      <c r="O12" s="15" t="s">
        <v>97</v>
      </c>
    </row>
    <row r="13" spans="1:19" ht="17">
      <c r="A13" s="57" t="s">
        <v>37</v>
      </c>
      <c r="B13" s="58">
        <v>0.1</v>
      </c>
      <c r="C13" s="59" t="s">
        <v>74</v>
      </c>
      <c r="O13" s="15" t="s">
        <v>97</v>
      </c>
    </row>
    <row r="14" spans="1:19" ht="17">
      <c r="A14" s="60" t="s">
        <v>70</v>
      </c>
      <c r="B14" s="61">
        <f>B13*B12</f>
        <v>2722.3635600000002</v>
      </c>
      <c r="C14" s="62" t="s">
        <v>60</v>
      </c>
      <c r="O14" s="15" t="s">
        <v>97</v>
      </c>
    </row>
    <row r="15" spans="1:19" ht="17">
      <c r="A15" s="63" t="s">
        <v>72</v>
      </c>
      <c r="B15" s="27">
        <v>2000</v>
      </c>
      <c r="C15" s="26" t="s">
        <v>61</v>
      </c>
      <c r="O15" s="15" t="s">
        <v>97</v>
      </c>
    </row>
    <row r="16" spans="1:19" ht="18" thickBot="1">
      <c r="A16" s="64" t="s">
        <v>69</v>
      </c>
      <c r="B16" s="65">
        <f>B15*B26</f>
        <v>620</v>
      </c>
      <c r="C16" s="70" t="s">
        <v>60</v>
      </c>
      <c r="O16" s="15" t="s">
        <v>97</v>
      </c>
    </row>
    <row r="17" spans="1:3" ht="34">
      <c r="A17" s="66" t="s">
        <v>80</v>
      </c>
      <c r="B17" s="67">
        <v>130</v>
      </c>
      <c r="C17" s="68" t="s">
        <v>61</v>
      </c>
    </row>
    <row r="18" spans="1:3" ht="17">
      <c r="A18" s="60" t="s">
        <v>79</v>
      </c>
      <c r="B18" s="61">
        <f>LOOKUP(B17,'Input regression PV'!B18:B168,'Input regression PV'!$D$18:$D$168)</f>
        <v>43872.125999999931</v>
      </c>
      <c r="C18" s="62" t="s">
        <v>60</v>
      </c>
    </row>
    <row r="19" spans="1:3" ht="17">
      <c r="A19" s="60" t="s">
        <v>71</v>
      </c>
      <c r="B19" s="61">
        <f>B13*B18</f>
        <v>4387.2125999999935</v>
      </c>
      <c r="C19" s="62" t="s">
        <v>60</v>
      </c>
    </row>
    <row r="20" spans="1:3" ht="17">
      <c r="A20" s="63" t="s">
        <v>73</v>
      </c>
      <c r="B20" s="27">
        <v>1000</v>
      </c>
      <c r="C20" s="26" t="s">
        <v>61</v>
      </c>
    </row>
    <row r="21" spans="1:3" ht="18" thickBot="1">
      <c r="A21" s="64" t="s">
        <v>68</v>
      </c>
      <c r="B21" s="65">
        <f>B20*B26</f>
        <v>310</v>
      </c>
      <c r="C21" s="69" t="s">
        <v>60</v>
      </c>
    </row>
    <row r="22" spans="1:3" ht="17">
      <c r="A22" s="112" t="s">
        <v>21</v>
      </c>
      <c r="B22" s="124">
        <v>20</v>
      </c>
      <c r="C22" s="113" t="s">
        <v>62</v>
      </c>
    </row>
    <row r="23" spans="1:3" ht="17">
      <c r="A23" s="57" t="s">
        <v>77</v>
      </c>
      <c r="B23" s="114">
        <v>0.08</v>
      </c>
      <c r="C23" s="59" t="s">
        <v>39</v>
      </c>
    </row>
    <row r="24" spans="1:3" ht="34">
      <c r="A24" s="57" t="s">
        <v>53</v>
      </c>
      <c r="B24" s="114">
        <f>'Battery cost trend'!I2</f>
        <v>-7.1617328488423518E-2</v>
      </c>
      <c r="C24" s="59" t="s">
        <v>39</v>
      </c>
    </row>
    <row r="25" spans="1:3" ht="17">
      <c r="A25" s="57" t="s">
        <v>42</v>
      </c>
      <c r="B25" s="115" t="s">
        <v>41</v>
      </c>
      <c r="C25" s="59" t="s">
        <v>39</v>
      </c>
    </row>
    <row r="26" spans="1:3" ht="17">
      <c r="A26" s="57" t="s">
        <v>65</v>
      </c>
      <c r="B26" s="115">
        <v>0.31</v>
      </c>
      <c r="C26" s="59" t="s">
        <v>39</v>
      </c>
    </row>
    <row r="27" spans="1:3" ht="18" thickBot="1">
      <c r="A27" s="116" t="s">
        <v>66</v>
      </c>
      <c r="B27" s="117">
        <v>15</v>
      </c>
      <c r="C27" s="118" t="s">
        <v>38</v>
      </c>
    </row>
  </sheetData>
  <phoneticPr fontId="10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2F33C-6FF5-5942-82CD-2180E66F69B4}">
  <dimension ref="B1:U38"/>
  <sheetViews>
    <sheetView zoomScale="60" zoomScaleNormal="60" workbookViewId="0">
      <selection activeCell="C12" sqref="C12"/>
    </sheetView>
  </sheetViews>
  <sheetFormatPr baseColWidth="10" defaultRowHeight="16"/>
  <cols>
    <col min="4" max="5" width="12" bestFit="1" customWidth="1"/>
    <col min="6" max="6" width="12" customWidth="1"/>
    <col min="7" max="7" width="12" bestFit="1" customWidth="1"/>
    <col min="8" max="8" width="12" customWidth="1"/>
    <col min="9" max="9" width="12" bestFit="1" customWidth="1"/>
    <col min="12" max="12" width="11" customWidth="1"/>
    <col min="13" max="13" width="13.5" style="92" bestFit="1" customWidth="1"/>
    <col min="14" max="14" width="12.6640625" style="92" customWidth="1"/>
    <col min="15" max="15" width="13.5" style="92" customWidth="1"/>
    <col min="16" max="16" width="12.5" style="92" customWidth="1"/>
    <col min="17" max="17" width="13.5" style="92" customWidth="1"/>
    <col min="18" max="18" width="14.33203125" bestFit="1" customWidth="1"/>
    <col min="19" max="19" width="29.5" customWidth="1"/>
    <col min="20" max="20" width="27.83203125" customWidth="1"/>
    <col min="21" max="21" width="21.33203125" customWidth="1"/>
  </cols>
  <sheetData>
    <row r="1" spans="2:21">
      <c r="B1" s="138" t="s">
        <v>84</v>
      </c>
      <c r="C1" s="139"/>
      <c r="D1" s="139"/>
      <c r="E1" s="139"/>
      <c r="F1" s="139"/>
      <c r="G1" s="139"/>
      <c r="H1" s="139"/>
      <c r="I1" s="139"/>
      <c r="J1" s="139"/>
      <c r="K1" s="140"/>
      <c r="L1" s="141" t="s">
        <v>85</v>
      </c>
      <c r="M1" s="142"/>
      <c r="N1" s="142"/>
      <c r="O1" s="142"/>
      <c r="P1" s="142"/>
      <c r="Q1" s="143"/>
    </row>
    <row r="2" spans="2:21">
      <c r="B2" s="75" t="s">
        <v>88</v>
      </c>
      <c r="C2" s="93" t="s">
        <v>27</v>
      </c>
      <c r="D2" s="94" t="s">
        <v>30</v>
      </c>
      <c r="E2" s="94" t="s">
        <v>23</v>
      </c>
      <c r="F2" s="95" t="s">
        <v>30</v>
      </c>
      <c r="G2" s="95" t="s">
        <v>25</v>
      </c>
      <c r="H2" s="96" t="s">
        <v>30</v>
      </c>
      <c r="I2" s="96" t="s">
        <v>24</v>
      </c>
      <c r="J2" s="97" t="s">
        <v>30</v>
      </c>
      <c r="K2" s="98" t="s">
        <v>26</v>
      </c>
      <c r="L2" s="99" t="s">
        <v>30</v>
      </c>
      <c r="M2" s="94" t="s">
        <v>23</v>
      </c>
      <c r="N2" s="95" t="s">
        <v>30</v>
      </c>
      <c r="O2" s="95" t="s">
        <v>25</v>
      </c>
      <c r="P2" s="96" t="s">
        <v>30</v>
      </c>
      <c r="Q2" s="100" t="s">
        <v>24</v>
      </c>
      <c r="S2" s="137" t="s">
        <v>44</v>
      </c>
      <c r="T2" s="137"/>
      <c r="U2" s="137"/>
    </row>
    <row r="3" spans="2:21" ht="17">
      <c r="B3" s="75">
        <v>0</v>
      </c>
      <c r="C3" s="76">
        <f>IF(B3="no",0,B3)</f>
        <v>0</v>
      </c>
      <c r="D3" s="77">
        <f>IF(C3=0,INPUTS!$B$12,IF(C3&lt;=INPUTS!$B$22,INPUTS!$B$14+INPUTS!$B$16*0.5,"0"))</f>
        <v>27223.635600000001</v>
      </c>
      <c r="E3" s="77">
        <f>IF(B3="no","",(D3/(1+INPUTS!$B$23)^OUTPUT!C3))</f>
        <v>27223.635600000001</v>
      </c>
      <c r="F3" s="78">
        <f>IF(C3=0,INPUTS!$B$18+INPUTS!$C$9*INPUTS!$C$8,IF(C3&lt;=INPUTS!$B$22,IF(OR(INPUTS!$C$10=C3,INPUTS!$C$10+INPUTS!$C$10=C3,INPUTS!$C$10+INPUTS!$C$10+INPUTS!$C$10=C3),INPUTS!$B$19+(INPUTS!$C$9*INPUTS!$C$8*(1+INPUTS!$B$24)^OUTPUT!C3),INPUTS!$B$19+INPUTS!$B$21*0.5),"0"))</f>
        <v>118342.56843004483</v>
      </c>
      <c r="G3" s="78">
        <f>IF(B3="no","",F3/(1+INPUTS!$B$23)^OUTPUT!C3)</f>
        <v>118342.56843004483</v>
      </c>
      <c r="H3" s="79">
        <f>IF(C3=0,F3-INPUTS!$C$9*INPUTS!$C$8,IF(F3="0",0,INPUTS!$B$19+0.5*INPUTS!$B$21))</f>
        <v>43872.125999999931</v>
      </c>
      <c r="I3" s="80">
        <f>IF(B3="no","",H3/(1+INPUTS!$B$23)^OUTPUT!C3)</f>
        <v>43872.125999999931</v>
      </c>
      <c r="J3" s="81"/>
      <c r="K3" s="82"/>
      <c r="L3" s="101"/>
      <c r="M3" s="102">
        <f>L3/(1+INPUTS!$B$23)^OUTPUT!C3</f>
        <v>0</v>
      </c>
      <c r="N3" s="103">
        <v>0</v>
      </c>
      <c r="O3" s="102">
        <f>N3/(1+INPUTS!$B$23)^$C3</f>
        <v>0</v>
      </c>
      <c r="P3" s="103">
        <f>IF(D3&lt;&gt;"0",IF(OR(C3=0,C3=INPUTS!B$8,C3=INPUTS!B$8+INPUTS!B$8,C3=INPUTS!B$8+INPUTS!B$8+INPUTS!B$8,C3=INPUTS!B$8+INPUTS!B$8+INPUTS!B$8+INPUTS!B$8),INPUTS!B$9*INPUTS!B$8*(1+INPUTS!$B$24)^OUTPUT!C3,INPUTS!B$19+INPUTS!B$21*0.5),0)</f>
        <v>89364.530916053875</v>
      </c>
      <c r="Q3" s="104">
        <f>P3/(1+INPUTS!B$23)^OUTPUT!C3</f>
        <v>89364.530916053875</v>
      </c>
      <c r="S3" s="111" t="s">
        <v>89</v>
      </c>
      <c r="T3" s="111" t="s">
        <v>90</v>
      </c>
      <c r="U3" s="111" t="s">
        <v>91</v>
      </c>
    </row>
    <row r="4" spans="2:21">
      <c r="B4" s="75">
        <f t="shared" ref="B4:B33" si="0">IF(B3="no",0,B3+1)</f>
        <v>1</v>
      </c>
      <c r="C4" s="76">
        <f t="shared" ref="C4:C33" si="1">IF(B4="no",0,B4)</f>
        <v>1</v>
      </c>
      <c r="D4" s="77">
        <f>IF(C4=0,INPUTS!$B$12,IF(C4&lt;=INPUTS!$B$22,INPUTS!$B$14+INPUTS!$B$16*0.5,"0"))</f>
        <v>3032.3635600000002</v>
      </c>
      <c r="E4" s="77">
        <f>IF(B4="no","",(D4/(1+INPUTS!$B$23)^OUTPUT!C4))</f>
        <v>2807.7440370370373</v>
      </c>
      <c r="F4" s="78">
        <f>IF(C4=0,INPUTS!$B$18+INPUTS!$C$9*INPUTS!$C$8,IF(C4&lt;=INPUTS!$B$22,IF(OR(INPUTS!$C$10=C4,INPUTS!$C$10+INPUTS!$C$10=C4,INPUTS!$C$10+INPUTS!$C$10+INPUTS!$C$10=C4),INPUTS!$B$19+(INPUTS!$C$9*INPUTS!$C$8*(1+INPUTS!$B$24)^OUTPUT!C4),INPUTS!$B$19+INPUTS!$B$21*0.5),"0"))</f>
        <v>4542.2125999999935</v>
      </c>
      <c r="G4" s="78">
        <f>IF(B4="no","",F4/(1+INPUTS!$B$23)^OUTPUT!C4)</f>
        <v>4205.7524074074008</v>
      </c>
      <c r="H4" s="79">
        <f>IF(C4=0,F4-INPUTS!$C$9*INPUTS!$C$8,IF(F4="0",0,INPUTS!$B$19+0.5*INPUTS!$B$21))</f>
        <v>4542.2125999999935</v>
      </c>
      <c r="I4" s="80">
        <f>IF(B4="no","",H4/(1+INPUTS!$B$23)^OUTPUT!C4)</f>
        <v>4205.7524074074008</v>
      </c>
      <c r="J4" s="81"/>
      <c r="K4" s="82"/>
      <c r="L4" s="101">
        <f>IF($D4="0",0,INPUTS!$B$16*0.5)</f>
        <v>310</v>
      </c>
      <c r="M4" s="102">
        <f>L4/(1+INPUTS!$B$23)^OUTPUT!$C4</f>
        <v>287.03703703703701</v>
      </c>
      <c r="N4" s="103">
        <f>IF($D4="0",0,INPUTS!$B$21*0.5)</f>
        <v>155</v>
      </c>
      <c r="O4" s="102">
        <f>N4/(1+INPUTS!$B$23)^OUTPUT!$C4</f>
        <v>143.5185185185185</v>
      </c>
      <c r="P4" s="103">
        <f>IF(D4&lt;&gt;"0",IF(OR(C4=0,C4=INPUTS!B$8,C4=INPUTS!B$8+INPUTS!B$8,C4=INPUTS!B$8+INPUTS!B$8+INPUTS!B$8,C4=INPUTS!B$8+INPUTS!B$8+INPUTS!B$8+INPUTS!B$8),INPUTS!B$9*INPUTS!B$8*(1+INPUTS!$B$24)^OUTPUT!C4,INPUTS!B$19+INPUTS!B$21*0.5),0)</f>
        <v>4542.2125999999935</v>
      </c>
      <c r="Q4" s="104">
        <f>P4/(1+INPUTS!B$23)^OUTPUT!C4</f>
        <v>4205.7524074074008</v>
      </c>
      <c r="R4" t="s">
        <v>86</v>
      </c>
      <c r="S4" s="44">
        <f>E35+M35</f>
        <v>60039.453721366976</v>
      </c>
      <c r="T4" s="44">
        <f>G35+O35</f>
        <v>193154.09823298565</v>
      </c>
      <c r="U4" s="44">
        <f>I35+Q35</f>
        <v>259976.90586770058</v>
      </c>
    </row>
    <row r="5" spans="2:21">
      <c r="B5" s="75">
        <f t="shared" si="0"/>
        <v>2</v>
      </c>
      <c r="C5" s="76">
        <f t="shared" si="1"/>
        <v>2</v>
      </c>
      <c r="D5" s="77">
        <f>IF(C5=0,INPUTS!$B$12,IF(C5&lt;=INPUTS!$B$22,INPUTS!$B$14+INPUTS!$B$16*0.5,"0"))</f>
        <v>3032.3635600000002</v>
      </c>
      <c r="E5" s="77">
        <f>IF(B5="no","",(D5/(1+INPUTS!$B$23)^OUTPUT!C5))</f>
        <v>2599.7629972565155</v>
      </c>
      <c r="F5" s="78">
        <f>IF(C5=0,INPUTS!$B$18+INPUTS!$C$9*INPUTS!$C$8,IF(C5&lt;=INPUTS!$B$22,IF(OR(INPUTS!$C$10=C5,INPUTS!$C$10+INPUTS!$C$10=C5,INPUTS!$C$10+INPUTS!$C$10+INPUTS!$C$10=C5),INPUTS!$B$19+(INPUTS!$C$9*INPUTS!$C$8*(1+INPUTS!$B$24)^OUTPUT!C5),INPUTS!$B$19+INPUTS!$B$21*0.5),"0"))</f>
        <v>4542.2125999999935</v>
      </c>
      <c r="G5" s="78">
        <f>IF(B5="no","",F5/(1+INPUTS!$B$23)^OUTPUT!C5)</f>
        <v>3894.2151920438896</v>
      </c>
      <c r="H5" s="79">
        <f>IF(C5=0,F5-INPUTS!$C$9*INPUTS!$C$8,IF(F5="0",0,INPUTS!$B$19+0.5*INPUTS!$B$21))</f>
        <v>4542.2125999999935</v>
      </c>
      <c r="I5" s="80">
        <f>IF(B5="no","",H5/(1+INPUTS!$B$23)^OUTPUT!C5)</f>
        <v>3894.2151920438896</v>
      </c>
      <c r="J5" s="81"/>
      <c r="K5" s="82"/>
      <c r="L5" s="101">
        <f>IF($D5="0",0,INPUTS!$B$16*0.5)</f>
        <v>310</v>
      </c>
      <c r="M5" s="102">
        <f>L5/(1+INPUTS!$B$23)^OUTPUT!$C5</f>
        <v>265.77503429355278</v>
      </c>
      <c r="N5" s="103">
        <f>IF($D5="0",0,INPUTS!$B$21*0.5)</f>
        <v>155</v>
      </c>
      <c r="O5" s="102">
        <f>N5/(1+INPUTS!$B$23)^OUTPUT!$C5</f>
        <v>132.88751714677639</v>
      </c>
      <c r="P5" s="103">
        <f>IF(D5&lt;&gt;"0",IF(OR(C5=0,C5=INPUTS!B$8,C5=INPUTS!B$8+INPUTS!B$8,C5=INPUTS!B$8+INPUTS!B$8+INPUTS!B$8,C5=INPUTS!B$8+INPUTS!B$8+INPUTS!B$8+INPUTS!B$8),INPUTS!B$9*INPUTS!B$8*(1+INPUTS!$B$24)^OUTPUT!C5,INPUTS!B$19+INPUTS!B$21*0.5),0)</f>
        <v>4542.2125999999935</v>
      </c>
      <c r="Q5" s="104">
        <f>P5/(1+INPUTS!B$23)^OUTPUT!C5</f>
        <v>3894.2151920438896</v>
      </c>
      <c r="R5" t="s">
        <v>87</v>
      </c>
      <c r="S5" s="44">
        <f>S8</f>
        <v>56995.828025057694</v>
      </c>
      <c r="T5" s="44">
        <f t="shared" ref="T5:U5" si="2">T8</f>
        <v>191632.28538483102</v>
      </c>
      <c r="U5" s="44">
        <f t="shared" si="2"/>
        <v>88468.238862773331</v>
      </c>
    </row>
    <row r="6" spans="2:21">
      <c r="B6" s="75">
        <f t="shared" si="0"/>
        <v>3</v>
      </c>
      <c r="C6" s="76">
        <f t="shared" si="1"/>
        <v>3</v>
      </c>
      <c r="D6" s="77">
        <f>IF(C6=0,INPUTS!$B$12,IF(C6&lt;=INPUTS!$B$22,INPUTS!$B$14+INPUTS!$B$16*0.5,"0"))</f>
        <v>3032.3635600000002</v>
      </c>
      <c r="E6" s="77">
        <f>IF(B6="no","",(D6/(1+INPUTS!$B$23)^OUTPUT!C6))</f>
        <v>2407.1879604226997</v>
      </c>
      <c r="F6" s="78">
        <f>IF(C6=0,INPUTS!$B$18+INPUTS!$C$9*INPUTS!$C$8,IF(C6&lt;=INPUTS!$B$22,IF(OR(INPUTS!$C$10=C6,INPUTS!$C$10+INPUTS!$C$10=C6,INPUTS!$C$10+INPUTS!$C$10+INPUTS!$C$10=C6),INPUTS!$B$19+(INPUTS!$C$9*INPUTS!$C$8*(1+INPUTS!$B$24)^OUTPUT!C6),INPUTS!$B$19+INPUTS!$B$21*0.5),"0"))</f>
        <v>4542.2125999999935</v>
      </c>
      <c r="G6" s="78">
        <f>IF(B6="no","",F6/(1+INPUTS!$B$23)^OUTPUT!C6)</f>
        <v>3605.754807448046</v>
      </c>
      <c r="H6" s="79">
        <f>IF(C6=0,F6-INPUTS!$C$9*INPUTS!$C$8,IF(F6="0",0,INPUTS!$B$19+0.5*INPUTS!$B$21))</f>
        <v>4542.2125999999935</v>
      </c>
      <c r="I6" s="80">
        <f>IF(B6="no","",H6/(1+INPUTS!$B$23)^OUTPUT!C6)</f>
        <v>3605.754807448046</v>
      </c>
      <c r="J6" s="81"/>
      <c r="K6" s="82"/>
      <c r="L6" s="101">
        <f>IF($D6="0",0,INPUTS!$B$16*0.5)</f>
        <v>310</v>
      </c>
      <c r="M6" s="102">
        <f>L6/(1+INPUTS!$B$23)^OUTPUT!$C6</f>
        <v>246.08799471625258</v>
      </c>
      <c r="N6" s="103">
        <f>IF($D6="0",0,INPUTS!$B$21*0.5)</f>
        <v>155</v>
      </c>
      <c r="O6" s="102">
        <f>N6/(1+INPUTS!$B$23)^OUTPUT!$C6</f>
        <v>123.04399735812629</v>
      </c>
      <c r="P6" s="103">
        <f>IF(D6&lt;&gt;"0",IF(OR(C6=0,C6=INPUTS!B$8,C6=INPUTS!B$8+INPUTS!B$8,C6=INPUTS!B$8+INPUTS!B$8+INPUTS!B$8,C6=INPUTS!B$8+INPUTS!B$8+INPUTS!B$8+INPUTS!B$8),INPUTS!B$9*INPUTS!B$8*(1+INPUTS!$B$24)^OUTPUT!C6,INPUTS!B$19+INPUTS!B$21*0.5),0)</f>
        <v>4542.2125999999935</v>
      </c>
      <c r="Q6" s="104">
        <f>P6/(1+INPUTS!B$23)^OUTPUT!C6</f>
        <v>3605.754807448046</v>
      </c>
      <c r="S6" s="137" t="s">
        <v>82</v>
      </c>
      <c r="T6" s="137"/>
      <c r="U6" s="137"/>
    </row>
    <row r="7" spans="2:21">
      <c r="B7" s="75">
        <f t="shared" si="0"/>
        <v>4</v>
      </c>
      <c r="C7" s="76">
        <f t="shared" si="1"/>
        <v>4</v>
      </c>
      <c r="D7" s="77">
        <f>IF(C7=0,INPUTS!$B$12,IF(C7&lt;=INPUTS!$B$22,INPUTS!$B$14+INPUTS!$B$16*0.5,"0"))</f>
        <v>3032.3635600000002</v>
      </c>
      <c r="E7" s="77">
        <f>IF(B7="no","",(D7/(1+INPUTS!$B$23)^OUTPUT!C7))</f>
        <v>2228.8777411321289</v>
      </c>
      <c r="F7" s="78">
        <f>IF(C7=0,INPUTS!$B$18+INPUTS!$C$9*INPUTS!$C$8,IF(C7&lt;=INPUTS!$B$22,IF(OR(INPUTS!$C$10=C7,INPUTS!$C$10+INPUTS!$C$10=C7,INPUTS!$C$10+INPUTS!$C$10+INPUTS!$C$10=C7),INPUTS!$B$19+(INPUTS!$C$9*INPUTS!$C$8*(1+INPUTS!$B$24)^OUTPUT!C7),INPUTS!$B$19+INPUTS!$B$21*0.5),"0"))</f>
        <v>4542.2125999999935</v>
      </c>
      <c r="G7" s="78">
        <f>IF(B7="no","",F7/(1+INPUTS!$B$23)^OUTPUT!C7)</f>
        <v>3338.6618587481903</v>
      </c>
      <c r="H7" s="79">
        <f>IF(C7=0,F7-INPUTS!$C$9*INPUTS!$C$8,IF(F7="0",0,INPUTS!$B$19+0.5*INPUTS!$B$21))</f>
        <v>4542.2125999999935</v>
      </c>
      <c r="I7" s="80">
        <f>IF(B7="no","",H7/(1+INPUTS!$B$23)^OUTPUT!C7)</f>
        <v>3338.6618587481903</v>
      </c>
      <c r="J7" s="81"/>
      <c r="K7" s="82"/>
      <c r="L7" s="101">
        <f>IF($D7="0",0,INPUTS!$B$16*0.5)</f>
        <v>310</v>
      </c>
      <c r="M7" s="102">
        <f>L7/(1+INPUTS!$B$23)^OUTPUT!$C7</f>
        <v>227.8592543669005</v>
      </c>
      <c r="N7" s="103">
        <f>IF($D7="0",0,INPUTS!$B$21*0.5)</f>
        <v>155</v>
      </c>
      <c r="O7" s="102">
        <f>N7/(1+INPUTS!$B$23)^OUTPUT!$C7</f>
        <v>113.92962718345025</v>
      </c>
      <c r="P7" s="103">
        <f>IF(D7&lt;&gt;"0",IF(OR(C7=0,C7=INPUTS!B$8,C7=INPUTS!B$8+INPUTS!B$8,C7=INPUTS!B$8+INPUTS!B$8+INPUTS!B$8,C7=INPUTS!B$8+INPUTS!B$8+INPUTS!B$8+INPUTS!B$8),INPUTS!B$9*INPUTS!B$8*(1+INPUTS!$B$24)^OUTPUT!C7,INPUTS!B$19+INPUTS!B$21*0.5),0)</f>
        <v>4542.2125999999935</v>
      </c>
      <c r="Q7" s="104">
        <f>P7/(1+INPUTS!B$23)^OUTPUT!C7</f>
        <v>3338.6618587481903</v>
      </c>
      <c r="S7" s="43" t="str">
        <f>S3</f>
        <v>HLUC-3-PUC-1 Grid Strengthening</v>
      </c>
      <c r="T7" s="43" t="str">
        <f>T3</f>
        <v>HLUC-3-PUC-2  Substation ESS</v>
      </c>
      <c r="U7" s="43" t="str">
        <f>U3</f>
        <v>HLUC-3-PUC-3  BESS</v>
      </c>
    </row>
    <row r="8" spans="2:21">
      <c r="B8" s="75">
        <f t="shared" si="0"/>
        <v>5</v>
      </c>
      <c r="C8" s="76">
        <f t="shared" si="1"/>
        <v>5</v>
      </c>
      <c r="D8" s="77">
        <f>IF(C8=0,INPUTS!$B$12,IF(C8&lt;=INPUTS!$B$22,INPUTS!$B$14+INPUTS!$B$16*0.5,"0"))</f>
        <v>3032.3635600000002</v>
      </c>
      <c r="E8" s="77">
        <f>IF(B8="no","",(D8/(1+INPUTS!$B$23)^OUTPUT!C8))</f>
        <v>2063.7756862334527</v>
      </c>
      <c r="F8" s="78">
        <f>IF(C8=0,INPUTS!$B$18+INPUTS!$C$9*INPUTS!$C$8,IF(C8&lt;=INPUTS!$B$22,IF(OR(INPUTS!$C$10=C8,INPUTS!$C$10+INPUTS!$C$10=C8,INPUTS!$C$10+INPUTS!$C$10+INPUTS!$C$10=C8),INPUTS!$B$19+(INPUTS!$C$9*INPUTS!$C$8*(1+INPUTS!$B$24)^OUTPUT!C8),INPUTS!$B$19+INPUTS!$B$21*0.5),"0"))</f>
        <v>4542.2125999999935</v>
      </c>
      <c r="G8" s="78">
        <f>IF(B8="no","",F8/(1+INPUTS!$B$23)^OUTPUT!C8)</f>
        <v>3091.3535729149912</v>
      </c>
      <c r="H8" s="79">
        <f>IF(C8=0,F8-INPUTS!$C$9*INPUTS!$C$8,IF(F8="0",0,INPUTS!$B$19+0.5*INPUTS!$B$21))</f>
        <v>4542.2125999999935</v>
      </c>
      <c r="I8" s="80">
        <f>IF(B8="no","",H8/(1+INPUTS!$B$23)^OUTPUT!C8)</f>
        <v>3091.3535729149912</v>
      </c>
      <c r="J8" s="81"/>
      <c r="K8" s="82"/>
      <c r="L8" s="101">
        <f>IF($D8="0",0,INPUTS!$B$16*0.5)</f>
        <v>310</v>
      </c>
      <c r="M8" s="102">
        <f>L8/(1+INPUTS!$B$23)^OUTPUT!$C8</f>
        <v>210.98079108046343</v>
      </c>
      <c r="N8" s="103">
        <f>IF($D8="0",0,INPUTS!$B$21*0.5)</f>
        <v>155</v>
      </c>
      <c r="O8" s="102">
        <f>N8/(1+INPUTS!$B$23)^OUTPUT!$C8</f>
        <v>105.49039554023172</v>
      </c>
      <c r="P8" s="103">
        <f>IF(D8&lt;&gt;"0",IF(OR(C8=0,C8=INPUTS!B$8,C8=INPUTS!B$8+INPUTS!B$8,C8=INPUTS!B$8+INPUTS!B$8+INPUTS!B$8,C8=INPUTS!B$8+INPUTS!B$8+INPUTS!B$8+INPUTS!B$8),INPUTS!B$9*INPUTS!B$8*(1+INPUTS!$B$24)^OUTPUT!C8,INPUTS!B$19+INPUTS!B$21*0.5),0)</f>
        <v>4542.2125999999935</v>
      </c>
      <c r="Q8" s="104">
        <f>P8/(1+INPUTS!B$23)^OUTPUT!C8</f>
        <v>3091.3535729149912</v>
      </c>
      <c r="S8" s="44">
        <f>E35</f>
        <v>56995.828025057694</v>
      </c>
      <c r="T8" s="44">
        <f>G35</f>
        <v>191632.28538483102</v>
      </c>
      <c r="U8" s="44">
        <f>I35</f>
        <v>88468.238862773331</v>
      </c>
    </row>
    <row r="9" spans="2:21">
      <c r="B9" s="75">
        <f t="shared" si="0"/>
        <v>6</v>
      </c>
      <c r="C9" s="76">
        <f t="shared" si="1"/>
        <v>6</v>
      </c>
      <c r="D9" s="77">
        <f>IF(C9=0,INPUTS!$B$12,IF(C9&lt;=INPUTS!$B$22,INPUTS!$B$14+INPUTS!$B$16*0.5,"0"))</f>
        <v>3032.3635600000002</v>
      </c>
      <c r="E9" s="77">
        <f>IF(B9="no","",(D9/(1+INPUTS!$B$23)^OUTPUT!C9))</f>
        <v>1910.9034131791227</v>
      </c>
      <c r="F9" s="78">
        <f>IF(C9=0,INPUTS!$B$18+INPUTS!$C$9*INPUTS!$C$8,IF(C9&lt;=INPUTS!$B$22,IF(OR(INPUTS!$C$10=C9,INPUTS!$C$10+INPUTS!$C$10=C9,INPUTS!$C$10+INPUTS!$C$10+INPUTS!$C$10=C9),INPUTS!$B$19+(INPUTS!$C$9*INPUTS!$C$8*(1+INPUTS!$B$24)^OUTPUT!C9),INPUTS!$B$19+INPUTS!$B$21*0.5),"0"))</f>
        <v>4542.2125999999935</v>
      </c>
      <c r="G9" s="78">
        <f>IF(B9="no","",F9/(1+INPUTS!$B$23)^OUTPUT!C9)</f>
        <v>2862.3644193657324</v>
      </c>
      <c r="H9" s="79">
        <f>IF(C9=0,F9-INPUTS!$C$9*INPUTS!$C$8,IF(F9="0",0,INPUTS!$B$19+0.5*INPUTS!$B$21))</f>
        <v>4542.2125999999935</v>
      </c>
      <c r="I9" s="80">
        <f>IF(B9="no","",H9/(1+INPUTS!$B$23)^OUTPUT!C9)</f>
        <v>2862.3644193657324</v>
      </c>
      <c r="J9" s="81"/>
      <c r="K9" s="82"/>
      <c r="L9" s="101">
        <f>IF($D9="0",0,INPUTS!$B$16*0.5)</f>
        <v>310</v>
      </c>
      <c r="M9" s="102">
        <f>L9/(1+INPUTS!$B$23)^OUTPUT!$C9</f>
        <v>195.35258433376242</v>
      </c>
      <c r="N9" s="103">
        <f>IF($D9="0",0,INPUTS!$B$21*0.5)</f>
        <v>155</v>
      </c>
      <c r="O9" s="102">
        <f>N9/(1+INPUTS!$B$23)^OUTPUT!$C9</f>
        <v>97.676292166881211</v>
      </c>
      <c r="P9" s="103">
        <f>IF(D9&lt;&gt;"0",IF(OR(C9=0,C9=INPUTS!B$8,C9=INPUTS!B$8+INPUTS!B$8,C9=INPUTS!B$8+INPUTS!B$8+INPUTS!B$8,C9=INPUTS!B$8+INPUTS!B$8+INPUTS!B$8+INPUTS!B$8),INPUTS!B$9*INPUTS!B$8*(1+INPUTS!$B$24)^OUTPUT!C9,INPUTS!B$19+INPUTS!B$21*0.5),0)</f>
        <v>4542.2125999999935</v>
      </c>
      <c r="Q9" s="104">
        <f>P9/(1+INPUTS!B$23)^OUTPUT!C9</f>
        <v>2862.3644193657324</v>
      </c>
    </row>
    <row r="10" spans="2:21">
      <c r="B10" s="75">
        <f t="shared" si="0"/>
        <v>7</v>
      </c>
      <c r="C10" s="76">
        <f t="shared" si="1"/>
        <v>7</v>
      </c>
      <c r="D10" s="77">
        <f>IF(C10=0,INPUTS!$B$12,IF(C10&lt;=INPUTS!$B$22,INPUTS!$B$14+INPUTS!$B$16*0.5,"0"))</f>
        <v>3032.3635600000002</v>
      </c>
      <c r="E10" s="77">
        <f>IF(B10="no","",(D10/(1+INPUTS!$B$23)^OUTPUT!C10))</f>
        <v>1769.3550122028914</v>
      </c>
      <c r="F10" s="78">
        <f>IF(C10=0,INPUTS!$B$18+INPUTS!$C$9*INPUTS!$C$8,IF(C10&lt;=INPUTS!$B$22,IF(OR(INPUTS!$C$10=C10,INPUTS!$C$10+INPUTS!$C$10=C10,INPUTS!$C$10+INPUTS!$C$10+INPUTS!$C$10=C10),INPUTS!$B$19+(INPUTS!$C$9*INPUTS!$C$8*(1+INPUTS!$B$24)^OUTPUT!C10),INPUTS!$B$19+INPUTS!$B$21*0.5),"0"))</f>
        <v>4542.2125999999935</v>
      </c>
      <c r="G10" s="78">
        <f>IF(B10="no","",F10/(1+INPUTS!$B$23)^OUTPUT!C10)</f>
        <v>2650.337425338641</v>
      </c>
      <c r="H10" s="79">
        <f>IF(C10=0,F10-INPUTS!$C$9*INPUTS!$C$8,IF(F10="0",0,INPUTS!$B$19+0.5*INPUTS!$B$21))</f>
        <v>4542.2125999999935</v>
      </c>
      <c r="I10" s="80">
        <f>IF(B10="no","",H10/(1+INPUTS!$B$23)^OUTPUT!C10)</f>
        <v>2650.337425338641</v>
      </c>
      <c r="J10" s="81"/>
      <c r="K10" s="82"/>
      <c r="L10" s="101">
        <f>IF($D10="0",0,INPUTS!$B$16*0.5)</f>
        <v>310</v>
      </c>
      <c r="M10" s="102">
        <f>L10/(1+INPUTS!$B$23)^OUTPUT!$C10</f>
        <v>180.8820225312615</v>
      </c>
      <c r="N10" s="103">
        <f>IF($D10="0",0,INPUTS!$B$21*0.5)</f>
        <v>155</v>
      </c>
      <c r="O10" s="102">
        <f>N10/(1+INPUTS!$B$23)^OUTPUT!$C10</f>
        <v>90.441011265630749</v>
      </c>
      <c r="P10" s="103">
        <f>IF(D10&lt;&gt;"0",IF(OR(C10=0,C10=INPUTS!B$8,C10=INPUTS!B$8+INPUTS!B$8,C10=INPUTS!B$8+INPUTS!B$8+INPUTS!B$8,C10=INPUTS!B$8+INPUTS!B$8+INPUTS!B$8+INPUTS!B$8),INPUTS!B$9*INPUTS!B$8*(1+INPUTS!$B$24)^OUTPUT!C10,INPUTS!B$19+INPUTS!B$21*0.5),0)</f>
        <v>53119.546613426137</v>
      </c>
      <c r="Q10" s="104">
        <f>P10/(1+INPUTS!B$23)^OUTPUT!C10</f>
        <v>30994.745249613359</v>
      </c>
    </row>
    <row r="11" spans="2:21">
      <c r="B11" s="75">
        <f t="shared" si="0"/>
        <v>8</v>
      </c>
      <c r="C11" s="76">
        <f t="shared" si="1"/>
        <v>8</v>
      </c>
      <c r="D11" s="77">
        <f>IF(C11=0,INPUTS!$B$12,IF(C11&lt;=INPUTS!$B$22,INPUTS!$B$14+INPUTS!$B$16*0.5,"0"))</f>
        <v>3032.3635600000002</v>
      </c>
      <c r="E11" s="77">
        <f>IF(B11="no","",(D11/(1+INPUTS!$B$23)^OUTPUT!C11))</f>
        <v>1638.2916779656402</v>
      </c>
      <c r="F11" s="78">
        <f>IF(C11=0,INPUTS!$B$18+INPUTS!$C$9*INPUTS!$C$8,IF(C11&lt;=INPUTS!$B$22,IF(OR(INPUTS!$C$10=C11,INPUTS!$C$10+INPUTS!$C$10=C11,INPUTS!$C$10+INPUTS!$C$10+INPUTS!$C$10=C11),INPUTS!$B$19+(INPUTS!$C$9*INPUTS!$C$8*(1+INPUTS!$B$24)^OUTPUT!C11),INPUTS!$B$19+INPUTS!$B$21*0.5),"0"))</f>
        <v>45483.268095380226</v>
      </c>
      <c r="G11" s="78">
        <f>IF(B11="no","",F11/(1+INPUTS!$B$23)^OUTPUT!C11)</f>
        <v>24573.194517395379</v>
      </c>
      <c r="H11" s="79">
        <f>IF(C11=0,F11-INPUTS!$C$9*INPUTS!$C$8,IF(F11="0",0,INPUTS!$B$19+0.5*INPUTS!$B$21))</f>
        <v>4542.2125999999935</v>
      </c>
      <c r="I11" s="80">
        <f>IF(B11="no","",H11/(1+INPUTS!$B$23)^OUTPUT!C11)</f>
        <v>2454.0161345728156</v>
      </c>
      <c r="J11" s="81"/>
      <c r="K11" s="82"/>
      <c r="L11" s="101">
        <f>IF($D11="0",0,INPUTS!$B$16*0.5)</f>
        <v>310</v>
      </c>
      <c r="M11" s="102">
        <f>L11/(1+INPUTS!$B$23)^OUTPUT!$C11</f>
        <v>167.48335419561249</v>
      </c>
      <c r="N11" s="103">
        <f>IF($D11="0",0,INPUTS!$B$21*0.5)</f>
        <v>155</v>
      </c>
      <c r="O11" s="102">
        <f>N11/(1+INPUTS!$B$23)^OUTPUT!$C11</f>
        <v>83.741677097806246</v>
      </c>
      <c r="P11" s="103">
        <f>IF(D11&lt;&gt;"0",IF(OR(C11=0,C11=INPUTS!B$8,C11=INPUTS!B$8+INPUTS!B$8,C11=INPUTS!B$8+INPUTS!B$8+INPUTS!B$8,C11=INPUTS!B$8+INPUTS!B$8+INPUTS!B$8+INPUTS!B$8),INPUTS!B$9*INPUTS!B$8*(1+INPUTS!$B$24)^OUTPUT!C11,INPUTS!B$19+INPUTS!B$21*0.5),0)</f>
        <v>4542.2125999999935</v>
      </c>
      <c r="Q11" s="104">
        <f>P11/(1+INPUTS!B$23)^OUTPUT!C11</f>
        <v>2454.0161345728156</v>
      </c>
    </row>
    <row r="12" spans="2:21">
      <c r="B12" s="75">
        <f t="shared" si="0"/>
        <v>9</v>
      </c>
      <c r="C12" s="76">
        <f t="shared" si="1"/>
        <v>9</v>
      </c>
      <c r="D12" s="77">
        <f>IF(C12=0,INPUTS!$B$12,IF(C12&lt;=INPUTS!$B$22,INPUTS!$B$14+INPUTS!$B$16*0.5,"0"))</f>
        <v>3032.3635600000002</v>
      </c>
      <c r="E12" s="77">
        <f>IF(B12="no","",(D12/(1+INPUTS!$B$23)^OUTPUT!C12))</f>
        <v>1516.936738857074</v>
      </c>
      <c r="F12" s="78">
        <f>IF(C12=0,INPUTS!$B$18+INPUTS!$C$9*INPUTS!$C$8,IF(C12&lt;=INPUTS!$B$22,IF(OR(INPUTS!$C$10=C12,INPUTS!$C$10+INPUTS!$C$10=C12,INPUTS!$C$10+INPUTS!$C$10+INPUTS!$C$10=C12),INPUTS!$B$19+(INPUTS!$C$9*INPUTS!$C$8*(1+INPUTS!$B$24)^OUTPUT!C12),INPUTS!$B$19+INPUTS!$B$21*0.5),"0"))</f>
        <v>4542.2125999999935</v>
      </c>
      <c r="G12" s="78">
        <f>IF(B12="no","",F12/(1+INPUTS!$B$23)^OUTPUT!C12)</f>
        <v>2272.2371616414957</v>
      </c>
      <c r="H12" s="79">
        <f>IF(C12=0,F12-INPUTS!$C$9*INPUTS!$C$8,IF(F12="0",0,INPUTS!$B$19+0.5*INPUTS!$B$21))</f>
        <v>4542.2125999999935</v>
      </c>
      <c r="I12" s="80">
        <f>IF(B12="no","",H12/(1+INPUTS!$B$23)^OUTPUT!C12)</f>
        <v>2272.2371616414957</v>
      </c>
      <c r="J12" s="81"/>
      <c r="K12" s="82"/>
      <c r="L12" s="101">
        <f>IF($D12="0",0,INPUTS!$B$16*0.5)</f>
        <v>310</v>
      </c>
      <c r="M12" s="102">
        <f>L12/(1+INPUTS!$B$23)^OUTPUT!$C12</f>
        <v>155.07717981075228</v>
      </c>
      <c r="N12" s="103">
        <f>IF($D12="0",0,INPUTS!$B$21*0.5)</f>
        <v>155</v>
      </c>
      <c r="O12" s="102">
        <f>N12/(1+INPUTS!$B$23)^OUTPUT!$C12</f>
        <v>77.538589905376142</v>
      </c>
      <c r="P12" s="103">
        <f>IF(D12&lt;&gt;"0",IF(OR(C12=0,C12=INPUTS!B$8,C12=INPUTS!B$8+INPUTS!B$8,C12=INPUTS!B$8+INPUTS!B$8+INPUTS!B$8,C12=INPUTS!B$8+INPUTS!B$8+INPUTS!B$8+INPUTS!B$8),INPUTS!B$9*INPUTS!B$8*(1+INPUTS!$B$24)^OUTPUT!C12,INPUTS!B$19+INPUTS!B$21*0.5),0)</f>
        <v>4542.2125999999935</v>
      </c>
      <c r="Q12" s="104">
        <f>P12/(1+INPUTS!B$23)^OUTPUT!C12</f>
        <v>2272.2371616414957</v>
      </c>
    </row>
    <row r="13" spans="2:21">
      <c r="B13" s="75">
        <f t="shared" si="0"/>
        <v>10</v>
      </c>
      <c r="C13" s="76">
        <f t="shared" si="1"/>
        <v>10</v>
      </c>
      <c r="D13" s="77">
        <f>IF(C13=0,INPUTS!$B$12,IF(C13&lt;=INPUTS!$B$22,INPUTS!$B$14+INPUTS!$B$16*0.5,"0"))</f>
        <v>3032.3635600000002</v>
      </c>
      <c r="E13" s="77">
        <f>IF(B13="no","",(D13/(1+INPUTS!$B$23)^OUTPUT!C13))</f>
        <v>1404.5710544972908</v>
      </c>
      <c r="F13" s="78">
        <f>IF(C13=0,INPUTS!$B$18+INPUTS!$C$9*INPUTS!$C$8,IF(C13&lt;=INPUTS!$B$22,IF(OR(INPUTS!$C$10=C13,INPUTS!$C$10+INPUTS!$C$10=C13,INPUTS!$C$10+INPUTS!$C$10+INPUTS!$C$10=C13),INPUTS!$B$19+(INPUTS!$C$9*INPUTS!$C$8*(1+INPUTS!$B$24)^OUTPUT!C13),INPUTS!$B$19+INPUTS!$B$21*0.5),"0"))</f>
        <v>4542.2125999999935</v>
      </c>
      <c r="G13" s="78">
        <f>IF(B13="no","",F13/(1+INPUTS!$B$23)^OUTPUT!C13)</f>
        <v>2103.9232978161995</v>
      </c>
      <c r="H13" s="79">
        <f>IF(C13=0,F13-INPUTS!$C$9*INPUTS!$C$8,IF(F13="0",0,INPUTS!$B$19+0.5*INPUTS!$B$21))</f>
        <v>4542.2125999999935</v>
      </c>
      <c r="I13" s="80">
        <f>IF(B13="no","",H13/(1+INPUTS!$B$23)^OUTPUT!C13)</f>
        <v>2103.9232978161995</v>
      </c>
      <c r="J13" s="81"/>
      <c r="K13" s="82"/>
      <c r="L13" s="101">
        <f>IF($D13="0",0,INPUTS!$B$16*0.5)</f>
        <v>310</v>
      </c>
      <c r="M13" s="102">
        <f>L13/(1+INPUTS!$B$23)^OUTPUT!$C13</f>
        <v>143.58998130625213</v>
      </c>
      <c r="N13" s="103">
        <f>IF($D13="0",0,INPUTS!$B$21*0.5)</f>
        <v>155</v>
      </c>
      <c r="O13" s="102">
        <f>N13/(1+INPUTS!$B$23)^OUTPUT!$C13</f>
        <v>71.794990653126064</v>
      </c>
      <c r="P13" s="103">
        <f>IF(D13&lt;&gt;"0",IF(OR(C13=0,C13=INPUTS!B$8,C13=INPUTS!B$8+INPUTS!B$8,C13=INPUTS!B$8+INPUTS!B$8+INPUTS!B$8,C13=INPUTS!B$8+INPUTS!B$8+INPUTS!B$8+INPUTS!B$8),INPUTS!B$9*INPUTS!B$8*(1+INPUTS!$B$24)^OUTPUT!C13,INPUTS!B$19+INPUTS!B$21*0.5),0)</f>
        <v>4542.2125999999935</v>
      </c>
      <c r="Q13" s="104">
        <f>P13/(1+INPUTS!B$23)^OUTPUT!C13</f>
        <v>2103.9232978161995</v>
      </c>
    </row>
    <row r="14" spans="2:21">
      <c r="B14" s="75">
        <f t="shared" si="0"/>
        <v>11</v>
      </c>
      <c r="C14" s="76">
        <f t="shared" si="1"/>
        <v>11</v>
      </c>
      <c r="D14" s="77">
        <f>IF(C14=0,INPUTS!$B$12,IF(C14&lt;=INPUTS!$B$22,INPUTS!$B$14+INPUTS!$B$16*0.5,"0"))</f>
        <v>3032.3635600000002</v>
      </c>
      <c r="E14" s="77">
        <f>IF(B14="no","",(D14/(1+INPUTS!$B$23)^OUTPUT!C14))</f>
        <v>1300.5287541641583</v>
      </c>
      <c r="F14" s="78">
        <f>IF(C14=0,INPUTS!$B$18+INPUTS!$C$9*INPUTS!$C$8,IF(C14&lt;=INPUTS!$B$22,IF(OR(INPUTS!$C$10=C14,INPUTS!$C$10+INPUTS!$C$10=C14,INPUTS!$C$10+INPUTS!$C$10+INPUTS!$C$10=C14),INPUTS!$B$19+(INPUTS!$C$9*INPUTS!$C$8*(1+INPUTS!$B$24)^OUTPUT!C14),INPUTS!$B$19+INPUTS!$B$21*0.5),"0"))</f>
        <v>4542.2125999999935</v>
      </c>
      <c r="G14" s="78">
        <f>IF(B14="no","",F14/(1+INPUTS!$B$23)^OUTPUT!C14)</f>
        <v>1948.0771276075923</v>
      </c>
      <c r="H14" s="79">
        <f>IF(C14=0,F14-INPUTS!$C$9*INPUTS!$C$8,IF(F14="0",0,INPUTS!$B$19+0.5*INPUTS!$B$21))</f>
        <v>4542.2125999999935</v>
      </c>
      <c r="I14" s="80">
        <f>IF(B14="no","",H14/(1+INPUTS!$B$23)^OUTPUT!C14)</f>
        <v>1948.0771276075923</v>
      </c>
      <c r="J14" s="81"/>
      <c r="K14" s="82"/>
      <c r="L14" s="101">
        <f>IF($D14="0",0,INPUTS!$B$16*0.5)</f>
        <v>310</v>
      </c>
      <c r="M14" s="102">
        <f>L14/(1+INPUTS!$B$23)^OUTPUT!$C14</f>
        <v>132.9536863946779</v>
      </c>
      <c r="N14" s="103">
        <f>IF($D14="0",0,INPUTS!$B$21*0.5)</f>
        <v>155</v>
      </c>
      <c r="O14" s="102">
        <f>N14/(1+INPUTS!$B$23)^OUTPUT!$C14</f>
        <v>66.476843197338951</v>
      </c>
      <c r="P14" s="103">
        <f>IF(D14&lt;&gt;"0",IF(OR(C14=0,C14=INPUTS!B$8,C14=INPUTS!B$8+INPUTS!B$8,C14=INPUTS!B$8+INPUTS!B$8+INPUTS!B$8,C14=INPUTS!B$8+INPUTS!B$8+INPUTS!B$8+INPUTS!B$8),INPUTS!B$9*INPUTS!B$8*(1+INPUTS!$B$24)^OUTPUT!C14,INPUTS!B$19+INPUTS!B$21*0.5),0)</f>
        <v>4542.2125999999935</v>
      </c>
      <c r="Q14" s="104">
        <f>P14/(1+INPUTS!B$23)^OUTPUT!C14</f>
        <v>1948.0771276075923</v>
      </c>
    </row>
    <row r="15" spans="2:21">
      <c r="B15" s="75">
        <f t="shared" si="0"/>
        <v>12</v>
      </c>
      <c r="C15" s="76">
        <f t="shared" si="1"/>
        <v>12</v>
      </c>
      <c r="D15" s="77">
        <f>IF(C15=0,INPUTS!$B$12,IF(C15&lt;=INPUTS!$B$22,INPUTS!$B$14+INPUTS!$B$16*0.5,"0"))</f>
        <v>3032.3635600000002</v>
      </c>
      <c r="E15" s="77">
        <f>IF(B15="no","",(D15/(1+INPUTS!$B$23)^OUTPUT!C15))</f>
        <v>1204.193290892739</v>
      </c>
      <c r="F15" s="78">
        <f>IF(C15=0,INPUTS!$B$18+INPUTS!$C$9*INPUTS!$C$8,IF(C15&lt;=INPUTS!$B$22,IF(OR(INPUTS!$C$10=C15,INPUTS!$C$10+INPUTS!$C$10=C15,INPUTS!$C$10+INPUTS!$C$10+INPUTS!$C$10=C15),INPUTS!$B$19+(INPUTS!$C$9*INPUTS!$C$8*(1+INPUTS!$B$24)^OUTPUT!C15),INPUTS!$B$19+INPUTS!$B$21*0.5),"0"))</f>
        <v>4542.2125999999935</v>
      </c>
      <c r="G15" s="78">
        <f>IF(B15="no","",F15/(1+INPUTS!$B$23)^OUTPUT!C15)</f>
        <v>1803.7751181551778</v>
      </c>
      <c r="H15" s="79">
        <f>IF(C15=0,F15-INPUTS!$C$9*INPUTS!$C$8,IF(F15="0",0,INPUTS!$B$19+0.5*INPUTS!$B$21))</f>
        <v>4542.2125999999935</v>
      </c>
      <c r="I15" s="80">
        <f>IF(B15="no","",H15/(1+INPUTS!$B$23)^OUTPUT!C15)</f>
        <v>1803.7751181551778</v>
      </c>
      <c r="J15" s="81"/>
      <c r="K15" s="82"/>
      <c r="L15" s="101">
        <f>IF($D15="0",0,INPUTS!$B$16*0.5)</f>
        <v>310</v>
      </c>
      <c r="M15" s="102">
        <f>L15/(1+INPUTS!$B$23)^OUTPUT!$C15</f>
        <v>123.10526518025729</v>
      </c>
      <c r="N15" s="103">
        <f>IF($D15="0",0,INPUTS!$B$21*0.5)</f>
        <v>155</v>
      </c>
      <c r="O15" s="102">
        <f>N15/(1+INPUTS!$B$23)^OUTPUT!$C15</f>
        <v>61.552632590128646</v>
      </c>
      <c r="P15" s="103">
        <f>IF(D15&lt;&gt;"0",IF(OR(C15=0,C15=INPUTS!B$8,C15=INPUTS!B$8+INPUTS!B$8,C15=INPUTS!B$8+INPUTS!B$8+INPUTS!B$8,C15=INPUTS!B$8+INPUTS!B$8+INPUTS!B$8+INPUTS!B$8),INPUTS!B$9*INPUTS!B$8*(1+INPUTS!$B$24)^OUTPUT!C15,INPUTS!B$19+INPUTS!B$21*0.5),0)</f>
        <v>4542.2125999999935</v>
      </c>
      <c r="Q15" s="104">
        <f>P15/(1+INPUTS!B$23)^OUTPUT!C15</f>
        <v>1803.7751181551778</v>
      </c>
    </row>
    <row r="16" spans="2:21">
      <c r="B16" s="75">
        <f t="shared" si="0"/>
        <v>13</v>
      </c>
      <c r="C16" s="76">
        <f t="shared" si="1"/>
        <v>13</v>
      </c>
      <c r="D16" s="77">
        <f>IF(C16=0,INPUTS!$B$12,IF(C16&lt;=INPUTS!$B$22,INPUTS!$B$14+INPUTS!$B$16*0.5,"0"))</f>
        <v>3032.3635600000002</v>
      </c>
      <c r="E16" s="77">
        <f>IF(B16="no","",(D16/(1+INPUTS!$B$23)^OUTPUT!C16))</f>
        <v>1114.9937878636472</v>
      </c>
      <c r="F16" s="78">
        <f>IF(C16=0,INPUTS!$B$18+INPUTS!$C$9*INPUTS!$C$8,IF(C16&lt;=INPUTS!$B$22,IF(OR(INPUTS!$C$10=C16,INPUTS!$C$10+INPUTS!$C$10=C16,INPUTS!$C$10+INPUTS!$C$10+INPUTS!$C$10=C16),INPUTS!$B$19+(INPUTS!$C$9*INPUTS!$C$8*(1+INPUTS!$B$24)^OUTPUT!C16),INPUTS!$B$19+INPUTS!$B$21*0.5),"0"))</f>
        <v>4542.2125999999935</v>
      </c>
      <c r="G16" s="78">
        <f>IF(B16="no","",F16/(1+INPUTS!$B$23)^OUTPUT!C16)</f>
        <v>1670.1621464399796</v>
      </c>
      <c r="H16" s="79">
        <f>IF(C16=0,F16-INPUTS!$C$9*INPUTS!$C$8,IF(F16="0",0,INPUTS!$B$19+0.5*INPUTS!$B$21))</f>
        <v>4542.2125999999935</v>
      </c>
      <c r="I16" s="80">
        <f>IF(B16="no","",H16/(1+INPUTS!$B$23)^OUTPUT!C16)</f>
        <v>1670.1621464399796</v>
      </c>
      <c r="J16" s="81"/>
      <c r="K16" s="82"/>
      <c r="L16" s="101">
        <f>IF($D16="0",0,INPUTS!$B$16*0.5)</f>
        <v>310</v>
      </c>
      <c r="M16" s="102">
        <f>L16/(1+INPUTS!$B$23)^OUTPUT!$C16</f>
        <v>113.98635664838639</v>
      </c>
      <c r="N16" s="103">
        <f>IF($D16="0",0,INPUTS!$B$21*0.5)</f>
        <v>155</v>
      </c>
      <c r="O16" s="102">
        <f>N16/(1+INPUTS!$B$23)^OUTPUT!$C16</f>
        <v>56.993178324193195</v>
      </c>
      <c r="P16" s="103">
        <f>IF(D16&lt;&gt;"0",IF(OR(C16=0,C16=INPUTS!B$8,C16=INPUTS!B$8+INPUTS!B$8,C16=INPUTS!B$8+INPUTS!B$8+INPUTS!B$8,C16=INPUTS!B$8+INPUTS!B$8+INPUTS!B$8+INPUTS!B$8),INPUTS!B$9*INPUTS!B$8*(1+INPUTS!$B$24)^OUTPUT!C16,INPUTS!B$19+INPUTS!B$21*0.5),0)</f>
        <v>4542.2125999999935</v>
      </c>
      <c r="Q16" s="104">
        <f>P16/(1+INPUTS!B$23)^OUTPUT!C16</f>
        <v>1670.1621464399796</v>
      </c>
    </row>
    <row r="17" spans="2:17">
      <c r="B17" s="75">
        <f t="shared" si="0"/>
        <v>14</v>
      </c>
      <c r="C17" s="76">
        <f t="shared" si="1"/>
        <v>14</v>
      </c>
      <c r="D17" s="77">
        <f>IF(C17=0,INPUTS!$B$12,IF(C17&lt;=INPUTS!$B$22,INPUTS!$B$14+INPUTS!$B$16*0.5,"0"))</f>
        <v>3032.3635600000002</v>
      </c>
      <c r="E17" s="77">
        <f>IF(B17="no","",(D17/(1+INPUTS!$B$23)^OUTPUT!C17))</f>
        <v>1032.4016554293028</v>
      </c>
      <c r="F17" s="78">
        <f>IF(C17=0,INPUTS!$B$18+INPUTS!$C$9*INPUTS!$C$8,IF(C17&lt;=INPUTS!$B$22,IF(OR(INPUTS!$C$10=C17,INPUTS!$C$10+INPUTS!$C$10=C17,INPUTS!$C$10+INPUTS!$C$10+INPUTS!$C$10=C17),INPUTS!$B$19+(INPUTS!$C$9*INPUTS!$C$8*(1+INPUTS!$B$24)^OUTPUT!C17),INPUTS!$B$19+INPUTS!$B$21*0.5),"0"))</f>
        <v>4542.2125999999935</v>
      </c>
      <c r="G17" s="78">
        <f>IF(B17="no","",F17/(1+INPUTS!$B$23)^OUTPUT!C17)</f>
        <v>1546.4464318888697</v>
      </c>
      <c r="H17" s="79">
        <f>IF(C17=0,F17-INPUTS!$C$9*INPUTS!$C$8,IF(F17="0",0,INPUTS!$B$19+0.5*INPUTS!$B$21))</f>
        <v>4542.2125999999935</v>
      </c>
      <c r="I17" s="80">
        <f>IF(B17="no","",H17/(1+INPUTS!$B$23)^OUTPUT!C17)</f>
        <v>1546.4464318888697</v>
      </c>
      <c r="J17" s="81"/>
      <c r="K17" s="82"/>
      <c r="L17" s="101">
        <f>IF($D17="0",0,INPUTS!$B$16*0.5)</f>
        <v>310</v>
      </c>
      <c r="M17" s="102">
        <f>L17/(1+INPUTS!$B$23)^OUTPUT!$C17</f>
        <v>105.54292282257997</v>
      </c>
      <c r="N17" s="103">
        <f>IF($D17="0",0,INPUTS!$B$21*0.5)</f>
        <v>155</v>
      </c>
      <c r="O17" s="102">
        <f>N17/(1+INPUTS!$B$23)^OUTPUT!$C17</f>
        <v>52.771461411289984</v>
      </c>
      <c r="P17" s="103">
        <f>IF(D17&lt;&gt;"0",IF(OR(C17=0,C17=INPUTS!B$8,C17=INPUTS!B$8+INPUTS!B$8,C17=INPUTS!B$8+INPUTS!B$8+INPUTS!B$8,C17=INPUTS!B$8+INPUTS!B$8+INPUTS!B$8+INPUTS!B$8),INPUTS!B$9*INPUTS!B$8*(1+INPUTS!$B$24)^OUTPUT!C17,INPUTS!B$19+INPUTS!B$21*0.5),0)</f>
        <v>31575.013078360495</v>
      </c>
      <c r="Q17" s="104">
        <f>P17/(1+INPUTS!B$23)^OUTPUT!C17</f>
        <v>10750.061833714048</v>
      </c>
    </row>
    <row r="18" spans="2:17">
      <c r="B18" s="75">
        <f t="shared" si="0"/>
        <v>15</v>
      </c>
      <c r="C18" s="76">
        <f t="shared" si="1"/>
        <v>15</v>
      </c>
      <c r="D18" s="77">
        <f>IF(C18=0,INPUTS!$B$12,IF(C18&lt;=INPUTS!$B$22,INPUTS!$B$14+INPUTS!$B$16*0.5,"0"))</f>
        <v>3032.3635600000002</v>
      </c>
      <c r="E18" s="77">
        <f>IF(B18="no","",(D18/(1+INPUTS!$B$23)^OUTPUT!C18))</f>
        <v>955.92745873083584</v>
      </c>
      <c r="F18" s="78">
        <f>IF(C18=0,INPUTS!$B$18+INPUTS!$C$9*INPUTS!$C$8,IF(C18&lt;=INPUTS!$B$22,IF(OR(INPUTS!$C$10=C18,INPUTS!$C$10+INPUTS!$C$10=C18,INPUTS!$C$10+INPUTS!$C$10+INPUTS!$C$10=C18),INPUTS!$B$19+(INPUTS!$C$9*INPUTS!$C$8*(1+INPUTS!$B$24)^OUTPUT!C18),INPUTS!$B$19+INPUTS!$B$21*0.5),"0"))</f>
        <v>4542.2125999999935</v>
      </c>
      <c r="G18" s="78">
        <f>IF(B18="no","",F18/(1+INPUTS!$B$23)^OUTPUT!C18)</f>
        <v>1431.8948443415459</v>
      </c>
      <c r="H18" s="79">
        <f>IF(C18=0,F18-INPUTS!$C$9*INPUTS!$C$8,IF(F18="0",0,INPUTS!$B$19+0.5*INPUTS!$B$21))</f>
        <v>4542.2125999999935</v>
      </c>
      <c r="I18" s="80">
        <f>IF(B18="no","",H18/(1+INPUTS!$B$23)^OUTPUT!C18)</f>
        <v>1431.8948443415459</v>
      </c>
      <c r="J18" s="81"/>
      <c r="K18" s="82"/>
      <c r="L18" s="101">
        <f>IF($D18="0",0,INPUTS!$B$16*0.5)</f>
        <v>310</v>
      </c>
      <c r="M18" s="102">
        <f>L18/(1+INPUTS!$B$23)^OUTPUT!$C18</f>
        <v>97.724928539425889</v>
      </c>
      <c r="N18" s="103">
        <f>IF($D18="0",0,INPUTS!$B$21*0.5)</f>
        <v>155</v>
      </c>
      <c r="O18" s="102">
        <f>N18/(1+INPUTS!$B$23)^OUTPUT!$C18</f>
        <v>48.862464269712945</v>
      </c>
      <c r="P18" s="103">
        <f>IF(D18&lt;&gt;"0",IF(OR(C18=0,C18=INPUTS!B$8,C18=INPUTS!B$8+INPUTS!B$8,C18=INPUTS!B$8+INPUTS!B$8+INPUTS!B$8,C18=INPUTS!B$8+INPUTS!B$8+INPUTS!B$8+INPUTS!B$8),INPUTS!B$9*INPUTS!B$8*(1+INPUTS!$B$24)^OUTPUT!C18,INPUTS!B$19+INPUTS!B$21*0.5),0)</f>
        <v>4542.2125999999935</v>
      </c>
      <c r="Q18" s="104">
        <f>P18/(1+INPUTS!B$23)^OUTPUT!C18</f>
        <v>1431.8948443415459</v>
      </c>
    </row>
    <row r="19" spans="2:17">
      <c r="B19" s="75">
        <f t="shared" si="0"/>
        <v>16</v>
      </c>
      <c r="C19" s="76">
        <f t="shared" si="1"/>
        <v>16</v>
      </c>
      <c r="D19" s="77">
        <f>IF(C19=0,INPUTS!$B$12,IF(C19&lt;=INPUTS!$B$22,INPUTS!$B$14+INPUTS!$B$16*0.5,"0"))</f>
        <v>3032.3635600000002</v>
      </c>
      <c r="E19" s="77">
        <f>IF(B19="no","",(D19/(1+INPUTS!$B$23)^OUTPUT!C19))</f>
        <v>885.11801734336655</v>
      </c>
      <c r="F19" s="78">
        <f>IF(C19=0,INPUTS!$B$18+INPUTS!$C$9*INPUTS!$C$8,IF(C19&lt;=INPUTS!$B$22,IF(OR(INPUTS!$C$10=C19,INPUTS!$C$10+INPUTS!$C$10=C19,INPUTS!$C$10+INPUTS!$C$10+INPUTS!$C$10=C19),INPUTS!$B$19+(INPUTS!$C$9*INPUTS!$C$8*(1+INPUTS!$B$24)^OUTPUT!C19),INPUTS!$B$19+INPUTS!$B$21*0.5),"0"))</f>
        <v>27065.817992546916</v>
      </c>
      <c r="G19" s="78">
        <f>IF(B19="no","",F19/(1+INPUTS!$B$23)^OUTPUT!C19)</f>
        <v>7900.2542687656951</v>
      </c>
      <c r="H19" s="79">
        <f>IF(C19=0,F19-INPUTS!$C$9*INPUTS!$C$8,IF(F19="0",0,INPUTS!$B$19+0.5*INPUTS!$B$21))</f>
        <v>4542.2125999999935</v>
      </c>
      <c r="I19" s="80">
        <f>IF(B19="no","",H19/(1+INPUTS!$B$23)^OUTPUT!C19)</f>
        <v>1325.8285595755056</v>
      </c>
      <c r="J19" s="81"/>
      <c r="K19" s="82"/>
      <c r="L19" s="101">
        <f>IF($D19="0",0,INPUTS!$B$16*0.5)</f>
        <v>310</v>
      </c>
      <c r="M19" s="102">
        <f>L19/(1+INPUTS!$B$23)^OUTPUT!$C19</f>
        <v>90.486044943912859</v>
      </c>
      <c r="N19" s="103">
        <f>IF($D19="0",0,INPUTS!$B$21*0.5)</f>
        <v>155</v>
      </c>
      <c r="O19" s="102">
        <f>N19/(1+INPUTS!$B$23)^OUTPUT!$C19</f>
        <v>45.243022471956429</v>
      </c>
      <c r="P19" s="103">
        <f>IF(D19&lt;&gt;"0",IF(OR(C19=0,C19=INPUTS!B$8,C19=INPUTS!B$8+INPUTS!B$8,C19=INPUTS!B$8+INPUTS!B$8+INPUTS!B$8,C19=INPUTS!B$8+INPUTS!B$8+INPUTS!B$8+INPUTS!B$8),INPUTS!B$9*INPUTS!B$8*(1+INPUTS!$B$24)^OUTPUT!C19,INPUTS!B$19+INPUTS!B$21*0.5),0)</f>
        <v>4542.2125999999935</v>
      </c>
      <c r="Q19" s="104">
        <f>P19/(1+INPUTS!B$23)^OUTPUT!C19</f>
        <v>1325.8285595755056</v>
      </c>
    </row>
    <row r="20" spans="2:17">
      <c r="B20" s="75">
        <f t="shared" si="0"/>
        <v>17</v>
      </c>
      <c r="C20" s="76">
        <f t="shared" si="1"/>
        <v>17</v>
      </c>
      <c r="D20" s="77">
        <f>IF(C20=0,INPUTS!$B$12,IF(C20&lt;=INPUTS!$B$22,INPUTS!$B$14+INPUTS!$B$16*0.5,"0"))</f>
        <v>3032.3635600000002</v>
      </c>
      <c r="E20" s="77">
        <f>IF(B20="no","",(D20/(1+INPUTS!$B$23)^OUTPUT!C20))</f>
        <v>819.55371976237643</v>
      </c>
      <c r="F20" s="78">
        <f>IF(C20=0,INPUTS!$B$18+INPUTS!$C$9*INPUTS!$C$8,IF(C20&lt;=INPUTS!$B$22,IF(OR(INPUTS!$C$10=C20,INPUTS!$C$10+INPUTS!$C$10=C20,INPUTS!$C$10+INPUTS!$C$10+INPUTS!$C$10=C20),INPUTS!$B$19+(INPUTS!$C$9*INPUTS!$C$8*(1+INPUTS!$B$24)^OUTPUT!C20),INPUTS!$B$19+INPUTS!$B$21*0.5),"0"))</f>
        <v>4542.2125999999935</v>
      </c>
      <c r="G20" s="78">
        <f>IF(B20="no","",F20/(1+INPUTS!$B$23)^OUTPUT!C20)</f>
        <v>1227.6190366439864</v>
      </c>
      <c r="H20" s="79">
        <f>IF(C20=0,F20-INPUTS!$C$9*INPUTS!$C$8,IF(F20="0",0,INPUTS!$B$19+0.5*INPUTS!$B$21))</f>
        <v>4542.2125999999935</v>
      </c>
      <c r="I20" s="80">
        <f>IF(B20="no","",H20/(1+INPUTS!$B$23)^OUTPUT!C20)</f>
        <v>1227.6190366439864</v>
      </c>
      <c r="J20" s="81"/>
      <c r="K20" s="82"/>
      <c r="L20" s="101">
        <f>IF($D20="0",0,INPUTS!$B$16*0.5)</f>
        <v>310</v>
      </c>
      <c r="M20" s="102">
        <f>L20/(1+INPUTS!$B$23)^OUTPUT!$C20</f>
        <v>83.783374948067461</v>
      </c>
      <c r="N20" s="103">
        <f>IF($D20="0",0,INPUTS!$B$21*0.5)</f>
        <v>155</v>
      </c>
      <c r="O20" s="102">
        <f>N20/(1+INPUTS!$B$23)^OUTPUT!$C20</f>
        <v>41.891687474033731</v>
      </c>
      <c r="P20" s="103">
        <f>IF(D20&lt;&gt;"0",IF(OR(C20=0,C20=INPUTS!B$8,C20=INPUTS!B$8+INPUTS!B$8,C20=INPUTS!B$8+INPUTS!B$8+INPUTS!B$8,C20=INPUTS!B$8+INPUTS!B$8+INPUTS!B$8+INPUTS!B$8),INPUTS!B$9*INPUTS!B$8*(1+INPUTS!$B$24)^OUTPUT!C20,INPUTS!B$19+INPUTS!B$21*0.5),0)</f>
        <v>4542.2125999999935</v>
      </c>
      <c r="Q20" s="104">
        <f>P20/(1+INPUTS!B$23)^OUTPUT!C20</f>
        <v>1227.6190366439864</v>
      </c>
    </row>
    <row r="21" spans="2:17">
      <c r="B21" s="75">
        <f t="shared" si="0"/>
        <v>18</v>
      </c>
      <c r="C21" s="76">
        <f t="shared" si="1"/>
        <v>18</v>
      </c>
      <c r="D21" s="77">
        <f>IF(C21=0,INPUTS!$B$12,IF(C21&lt;=INPUTS!$B$22,INPUTS!$B$14+INPUTS!$B$16*0.5,"0"))</f>
        <v>3032.3635600000002</v>
      </c>
      <c r="E21" s="77">
        <f>IF(B21="no","",(D21/(1+INPUTS!$B$23)^OUTPUT!C21))</f>
        <v>758.84603681701515</v>
      </c>
      <c r="F21" s="78">
        <f>IF(C21=0,INPUTS!$B$18+INPUTS!$C$9*INPUTS!$C$8,IF(C21&lt;=INPUTS!$B$22,IF(OR(INPUTS!$C$10=C21,INPUTS!$C$10+INPUTS!$C$10=C21,INPUTS!$C$10+INPUTS!$C$10+INPUTS!$C$10=C21),INPUTS!$B$19+(INPUTS!$C$9*INPUTS!$C$8*(1+INPUTS!$B$24)^OUTPUT!C21),INPUTS!$B$19+INPUTS!$B$21*0.5),"0"))</f>
        <v>4542.2125999999935</v>
      </c>
      <c r="G21" s="78">
        <f>IF(B21="no","",F21/(1+INPUTS!$B$23)^OUTPUT!C21)</f>
        <v>1136.6842931888764</v>
      </c>
      <c r="H21" s="79">
        <f>IF(C21=0,F21-INPUTS!$C$9*INPUTS!$C$8,IF(F21="0",0,INPUTS!$B$19+0.5*INPUTS!$B$21))</f>
        <v>4542.2125999999935</v>
      </c>
      <c r="I21" s="80">
        <f>IF(B21="no","",H21/(1+INPUTS!$B$23)^OUTPUT!C21)</f>
        <v>1136.6842931888764</v>
      </c>
      <c r="J21" s="81"/>
      <c r="K21" s="82"/>
      <c r="L21" s="101">
        <f>IF($D21="0",0,INPUTS!$B$16*0.5)</f>
        <v>310</v>
      </c>
      <c r="M21" s="102">
        <f>L21/(1+INPUTS!$B$23)^OUTPUT!$C21</f>
        <v>77.577199025988378</v>
      </c>
      <c r="N21" s="103">
        <f>IF($D21="0",0,INPUTS!$B$21*0.5)</f>
        <v>155</v>
      </c>
      <c r="O21" s="102">
        <f>N21/(1+INPUTS!$B$23)^OUTPUT!$C21</f>
        <v>38.788599512994189</v>
      </c>
      <c r="P21" s="103">
        <f>IF(D21&lt;&gt;"0",IF(OR(C21=0,C21=INPUTS!B$8,C21=INPUTS!B$8+INPUTS!B$8,C21=INPUTS!B$8+INPUTS!B$8+INPUTS!B$8,C21=INPUTS!B$8+INPUTS!B$8+INPUTS!B$8+INPUTS!B$8),INPUTS!B$9*INPUTS!B$8*(1+INPUTS!$B$24)^OUTPUT!C21,INPUTS!B$19+INPUTS!B$21*0.5),0)</f>
        <v>4542.2125999999935</v>
      </c>
      <c r="Q21" s="104">
        <f>P21/(1+INPUTS!B$23)^OUTPUT!C21</f>
        <v>1136.6842931888764</v>
      </c>
    </row>
    <row r="22" spans="2:17">
      <c r="B22" s="75">
        <f t="shared" si="0"/>
        <v>19</v>
      </c>
      <c r="C22" s="76">
        <f t="shared" si="1"/>
        <v>19</v>
      </c>
      <c r="D22" s="77">
        <f>IF(C22=0,INPUTS!$B$12,IF(C22&lt;=INPUTS!$B$22,INPUTS!$B$14+INPUTS!$B$16*0.5,"0"))</f>
        <v>3032.3635600000002</v>
      </c>
      <c r="E22" s="77">
        <f>IF(B22="no","",(D22/(1+INPUTS!$B$23)^OUTPUT!C22))</f>
        <v>702.63521927501392</v>
      </c>
      <c r="F22" s="78">
        <f>IF(C22=0,INPUTS!$B$18+INPUTS!$C$9*INPUTS!$C$8,IF(C22&lt;=INPUTS!$B$22,IF(OR(INPUTS!$C$10=C22,INPUTS!$C$10+INPUTS!$C$10=C22,INPUTS!$C$10+INPUTS!$C$10+INPUTS!$C$10=C22),INPUTS!$B$19+(INPUTS!$C$9*INPUTS!$C$8*(1+INPUTS!$B$24)^OUTPUT!C22),INPUTS!$B$19+INPUTS!$B$21*0.5),"0"))</f>
        <v>4542.2125999999935</v>
      </c>
      <c r="G22" s="78">
        <f>IF(B22="no","",F22/(1+INPUTS!$B$23)^OUTPUT!C22)</f>
        <v>1052.4854566563668</v>
      </c>
      <c r="H22" s="79">
        <f>IF(C22=0,F22-INPUTS!$C$9*INPUTS!$C$8,IF(F22="0",0,INPUTS!$B$19+0.5*INPUTS!$B$21))</f>
        <v>4542.2125999999935</v>
      </c>
      <c r="I22" s="80">
        <f>IF(B22="no","",H22/(1+INPUTS!$B$23)^OUTPUT!C22)</f>
        <v>1052.4854566563668</v>
      </c>
      <c r="J22" s="81"/>
      <c r="K22" s="82"/>
      <c r="L22" s="101">
        <f>IF($D22="0",0,INPUTS!$B$16*0.5)</f>
        <v>310</v>
      </c>
      <c r="M22" s="102">
        <f>L22/(1+INPUTS!$B$23)^OUTPUT!$C22</f>
        <v>71.830739838878131</v>
      </c>
      <c r="N22" s="103">
        <f>IF($D22="0",0,INPUTS!$B$21*0.5)</f>
        <v>155</v>
      </c>
      <c r="O22" s="102">
        <f>N22/(1+INPUTS!$B$23)^OUTPUT!$C22</f>
        <v>35.915369919439065</v>
      </c>
      <c r="P22" s="103">
        <f>IF(D22&lt;&gt;"0",IF(OR(C22=0,C22=INPUTS!B$8,C22=INPUTS!B$8+INPUTS!B$8,C22=INPUTS!B$8+INPUTS!B$8+INPUTS!B$8,C22=INPUTS!B$8+INPUTS!B$8+INPUTS!B$8+INPUTS!B$8),INPUTS!B$9*INPUTS!B$8*(1+INPUTS!$B$24)^OUTPUT!C22,INPUTS!B$19+INPUTS!B$21*0.5),0)</f>
        <v>4542.2125999999935</v>
      </c>
      <c r="Q22" s="104">
        <f>P22/(1+INPUTS!B$23)^OUTPUT!C22</f>
        <v>1052.4854566563668</v>
      </c>
    </row>
    <row r="23" spans="2:17">
      <c r="B23" s="75">
        <f t="shared" si="0"/>
        <v>20</v>
      </c>
      <c r="C23" s="76">
        <f t="shared" si="1"/>
        <v>20</v>
      </c>
      <c r="D23" s="77">
        <f>IF(C23=0,INPUTS!$B$12,IF(C23&lt;=INPUTS!$B$22,INPUTS!$B$14+INPUTS!$B$16*0.5,"0"))</f>
        <v>3032.3635600000002</v>
      </c>
      <c r="E23" s="77">
        <f>IF(B23="no","",(D23/(1+INPUTS!$B$23)^OUTPUT!C23))</f>
        <v>650.58816599538329</v>
      </c>
      <c r="F23" s="78">
        <f>IF(C23=0,INPUTS!$B$18+INPUTS!$C$9*INPUTS!$C$8,IF(C23&lt;=INPUTS!$B$22,IF(OR(INPUTS!$C$10=C23,INPUTS!$C$10+INPUTS!$C$10=C23,INPUTS!$C$10+INPUTS!$C$10+INPUTS!$C$10=C23),INPUTS!$B$19+(INPUTS!$C$9*INPUTS!$C$8*(1+INPUTS!$B$24)^OUTPUT!C23),INPUTS!$B$19+INPUTS!$B$21*0.5),"0"))</f>
        <v>4542.2125999999935</v>
      </c>
      <c r="G23" s="78">
        <f>IF(B23="no","",F23/(1+INPUTS!$B$23)^OUTPUT!C23)</f>
        <v>974.5235709781175</v>
      </c>
      <c r="H23" s="79">
        <f>IF(C23=0,F23-INPUTS!$C$9*INPUTS!$C$8,IF(F23="0",0,INPUTS!$B$19+0.5*INPUTS!$B$21))</f>
        <v>4542.2125999999935</v>
      </c>
      <c r="I23" s="80">
        <f>IF(B23="no","",H23/(1+INPUTS!$B$23)^OUTPUT!C23)</f>
        <v>974.5235709781175</v>
      </c>
      <c r="J23" s="81"/>
      <c r="K23" s="82"/>
      <c r="L23" s="101">
        <f>IF($D23="0",0,INPUTS!$B$16*0.5)</f>
        <v>310</v>
      </c>
      <c r="M23" s="102">
        <f>L23/(1+INPUTS!$B$23)^OUTPUT!$C23</f>
        <v>66.509944295257526</v>
      </c>
      <c r="N23" s="103">
        <f>IF($D23="0",0,INPUTS!$B$21*0.5)</f>
        <v>155</v>
      </c>
      <c r="O23" s="102">
        <f>N23/(1+INPUTS!$B$23)^OUTPUT!$C23</f>
        <v>33.254972147628763</v>
      </c>
      <c r="P23" s="103">
        <f>IF(D23&lt;&gt;"0",IF(OR(C23=0,C23=INPUTS!B$8,C23=INPUTS!B$8+INPUTS!B$8,C23=INPUTS!B$8+INPUTS!B$8+INPUTS!B$8,C23=INPUTS!B$8+INPUTS!B$8+INPUTS!B$8+INPUTS!B$8),INPUTS!B$9*INPUTS!B$8*(1+INPUTS!$B$24)^OUTPUT!C23,INPUTS!B$19+INPUTS!B$21*0.5),0)</f>
        <v>4542.2125999999935</v>
      </c>
      <c r="Q23" s="104">
        <f>P23/(1+INPUTS!B$23)^OUTPUT!C23</f>
        <v>974.5235709781175</v>
      </c>
    </row>
    <row r="24" spans="2:17">
      <c r="B24" s="75">
        <f t="shared" si="0"/>
        <v>21</v>
      </c>
      <c r="C24" s="76">
        <f t="shared" si="1"/>
        <v>21</v>
      </c>
      <c r="D24" s="77" t="str">
        <f>IF(C24=0,INPUTS!$B$12,IF(C24&lt;=INPUTS!$B$22,INPUTS!$B$14+INPUTS!$B$16*0.5,"0"))</f>
        <v>0</v>
      </c>
      <c r="E24" s="77">
        <f>IF(B24="no","",(D24/(1+INPUTS!$B$23)^OUTPUT!C24))</f>
        <v>0</v>
      </c>
      <c r="F24" s="78" t="str">
        <f>IF(C24=0,INPUTS!$B$18+INPUTS!$C$9*INPUTS!$C$8,IF(C24&lt;=INPUTS!$B$22,IF(OR(INPUTS!$C$10=C24,INPUTS!$C$10+INPUTS!$C$10=C24,INPUTS!$C$10+INPUTS!$C$10+INPUTS!$C$10=C24),INPUTS!$B$19+(INPUTS!$C$9*INPUTS!$C$8*(1+INPUTS!$B$24)^OUTPUT!C24),INPUTS!$B$19+INPUTS!$B$21*0.5),"0"))</f>
        <v>0</v>
      </c>
      <c r="G24" s="78">
        <f>IF(B24="no","",F24/(1+INPUTS!$B$23)^OUTPUT!C24)</f>
        <v>0</v>
      </c>
      <c r="H24" s="79">
        <f>IF(C24=0,F24-INPUTS!$C$9*INPUTS!$C$8,IF(F24="0",0,INPUTS!$B$19+0.5*INPUTS!$B$21))</f>
        <v>0</v>
      </c>
      <c r="I24" s="80">
        <f>IF(B24="no","",H24/(1+INPUTS!$B$23)^OUTPUT!C24)</f>
        <v>0</v>
      </c>
      <c r="J24" s="81"/>
      <c r="K24" s="82"/>
      <c r="L24" s="101">
        <f>IF($D24="0",0,INPUTS!$B$16*0.5)</f>
        <v>0</v>
      </c>
      <c r="M24" s="102">
        <f>L24/(1+INPUTS!$B$23)^OUTPUT!$C24</f>
        <v>0</v>
      </c>
      <c r="N24" s="103">
        <f>IF($D24="0",0,INPUTS!$B$21*0.5)</f>
        <v>0</v>
      </c>
      <c r="O24" s="102">
        <f>N24/(1+INPUTS!$B$23)^OUTPUT!$C24</f>
        <v>0</v>
      </c>
      <c r="P24" s="103">
        <f>IF(D24&lt;&gt;"0",IF(OR(C24=0,C24=INPUTS!B$8,C24=INPUTS!B$8+INPUTS!B$8,C24=INPUTS!B$8+INPUTS!B$8+INPUTS!B$8,C24=INPUTS!B$8+INPUTS!B$8+INPUTS!B$8+INPUTS!B$8),INPUTS!B$9*INPUTS!B$8*(1+INPUTS!$B$24)^OUTPUT!C24,INPUTS!B$19+INPUTS!B$21*0.5),0)</f>
        <v>0</v>
      </c>
      <c r="Q24" s="104">
        <f>P24/(1+INPUTS!B$23)^OUTPUT!C24</f>
        <v>0</v>
      </c>
    </row>
    <row r="25" spans="2:17">
      <c r="B25" s="75">
        <f t="shared" si="0"/>
        <v>22</v>
      </c>
      <c r="C25" s="76">
        <f t="shared" si="1"/>
        <v>22</v>
      </c>
      <c r="D25" s="77" t="str">
        <f>IF(C25=0,INPUTS!$B$12,IF(C25&lt;=INPUTS!$B$22,INPUTS!$B$14+INPUTS!$B$16*0.5,"0"))</f>
        <v>0</v>
      </c>
      <c r="E25" s="77">
        <f>IF(B25="no","",(D25/(1+INPUTS!$B$23)^OUTPUT!C25))</f>
        <v>0</v>
      </c>
      <c r="F25" s="78" t="str">
        <f>IF(C25=0,INPUTS!$B$18+INPUTS!$C$9*INPUTS!$C$8,IF(C25&lt;=INPUTS!$B$22,IF(OR(INPUTS!$C$10=C25,INPUTS!$C$10+INPUTS!$C$10=C25,INPUTS!$C$10+INPUTS!$C$10+INPUTS!$C$10=C25),INPUTS!$B$19+(INPUTS!$C$9*INPUTS!$C$8*(1+INPUTS!$B$24)^OUTPUT!C25),INPUTS!$B$19+INPUTS!$B$21*0.5),"0"))</f>
        <v>0</v>
      </c>
      <c r="G25" s="78">
        <f>IF(B25="no","",F25/(1+INPUTS!$B$23)^OUTPUT!C25)</f>
        <v>0</v>
      </c>
      <c r="H25" s="79">
        <f>IF(C25=0,F25-INPUTS!$C$9*INPUTS!$C$8,IF(F25="0",0,INPUTS!$B$19+0.5*INPUTS!$B$21))</f>
        <v>0</v>
      </c>
      <c r="I25" s="80">
        <f>IF(B25="no","",H25/(1+INPUTS!$B$23)^OUTPUT!C25)</f>
        <v>0</v>
      </c>
      <c r="J25" s="81"/>
      <c r="K25" s="82"/>
      <c r="L25" s="101">
        <f>IF($D25="0",0,INPUTS!$B$16*0.5)</f>
        <v>0</v>
      </c>
      <c r="M25" s="102">
        <f>L25/(1+INPUTS!$B$23)^OUTPUT!$C25</f>
        <v>0</v>
      </c>
      <c r="N25" s="103">
        <f>IF($D25="0",0,INPUTS!$B$21*0.5)</f>
        <v>0</v>
      </c>
      <c r="O25" s="102">
        <f>N25/(1+INPUTS!$B$23)^OUTPUT!$C25</f>
        <v>0</v>
      </c>
      <c r="P25" s="103">
        <f>IF(D25&lt;&gt;"0",IF(OR(C25=0,C25=INPUTS!B$8,C25=INPUTS!B$8+INPUTS!B$8,C25=INPUTS!B$8+INPUTS!B$8+INPUTS!B$8,C25=INPUTS!B$8+INPUTS!B$8+INPUTS!B$8+INPUTS!B$8),INPUTS!B$9*INPUTS!B$8*(1+INPUTS!$B$24)^OUTPUT!C25,INPUTS!B$19+INPUTS!B$21*0.5),0)</f>
        <v>0</v>
      </c>
      <c r="Q25" s="104">
        <f>P25/(1+INPUTS!B$23)^OUTPUT!C25</f>
        <v>0</v>
      </c>
    </row>
    <row r="26" spans="2:17">
      <c r="B26" s="75">
        <f t="shared" si="0"/>
        <v>23</v>
      </c>
      <c r="C26" s="76">
        <f t="shared" si="1"/>
        <v>23</v>
      </c>
      <c r="D26" s="77" t="str">
        <f>IF(C26=0,INPUTS!$B$12,IF(C26&lt;=INPUTS!$B$22,INPUTS!$B$14+INPUTS!$B$16*0.5,"0"))</f>
        <v>0</v>
      </c>
      <c r="E26" s="77">
        <f>IF(B26="no","",(D26/(1+INPUTS!$B$23)^OUTPUT!C26))</f>
        <v>0</v>
      </c>
      <c r="F26" s="78" t="str">
        <f>IF(C26=0,INPUTS!$B$18+INPUTS!$C$9*INPUTS!$C$8,IF(C26&lt;=INPUTS!$B$22,IF(OR(INPUTS!$C$10=C26,INPUTS!$C$10+INPUTS!$C$10=C26,INPUTS!$C$10+INPUTS!$C$10+INPUTS!$C$10=C26),INPUTS!$B$19+(INPUTS!$C$9*INPUTS!$C$8*(1+INPUTS!$B$24)^OUTPUT!C26),INPUTS!$B$19+INPUTS!$B$21*0.5),"0"))</f>
        <v>0</v>
      </c>
      <c r="G26" s="78">
        <f>IF(B26="no","",F26/(1+INPUTS!$B$23)^OUTPUT!C26)</f>
        <v>0</v>
      </c>
      <c r="H26" s="79">
        <f>IF(C26=0,F26-INPUTS!$C$9*INPUTS!$C$8,IF(F26="0",0,INPUTS!$B$19+0.5*INPUTS!$B$21))</f>
        <v>0</v>
      </c>
      <c r="I26" s="80">
        <f>IF(B26="no","",H26/(1+INPUTS!$B$23)^OUTPUT!C26)</f>
        <v>0</v>
      </c>
      <c r="J26" s="81"/>
      <c r="K26" s="82"/>
      <c r="L26" s="101">
        <f>IF($D26="0",0,INPUTS!$B$16*0.5)</f>
        <v>0</v>
      </c>
      <c r="M26" s="102">
        <f>L26/(1+INPUTS!$B$23)^OUTPUT!$C26</f>
        <v>0</v>
      </c>
      <c r="N26" s="103">
        <f>IF($D26="0",0,INPUTS!$B$21*0.5)</f>
        <v>0</v>
      </c>
      <c r="O26" s="102">
        <f>N26/(1+INPUTS!$B$23)^OUTPUT!$C26</f>
        <v>0</v>
      </c>
      <c r="P26" s="103">
        <f>IF(D26&lt;&gt;"0",IF(OR(C26=0,C26=INPUTS!B$8,C26=INPUTS!B$8+INPUTS!B$8,C26=INPUTS!B$8+INPUTS!B$8+INPUTS!B$8,C26=INPUTS!B$8+INPUTS!B$8+INPUTS!B$8+INPUTS!B$8),INPUTS!B$9*INPUTS!B$8*(1+INPUTS!$B$24)^OUTPUT!C26,INPUTS!B$19+INPUTS!B$21*0.5),0)</f>
        <v>0</v>
      </c>
      <c r="Q26" s="104">
        <f>P26/(1+INPUTS!B$23)^OUTPUT!C26</f>
        <v>0</v>
      </c>
    </row>
    <row r="27" spans="2:17">
      <c r="B27" s="75">
        <f t="shared" si="0"/>
        <v>24</v>
      </c>
      <c r="C27" s="76">
        <f t="shared" si="1"/>
        <v>24</v>
      </c>
      <c r="D27" s="77" t="str">
        <f>IF(C27=0,INPUTS!$B$12,IF(C27&lt;=INPUTS!$B$22,INPUTS!$B$14+INPUTS!$B$16*0.5,"0"))</f>
        <v>0</v>
      </c>
      <c r="E27" s="77">
        <f>IF(B27="no","",(D27/(1+INPUTS!$B$23)^OUTPUT!C27))</f>
        <v>0</v>
      </c>
      <c r="F27" s="78" t="str">
        <f>IF(C27=0,INPUTS!$B$18+INPUTS!$C$9*INPUTS!$C$8,IF(C27&lt;=INPUTS!$B$22,IF(OR(INPUTS!$C$10=C27,INPUTS!$C$10+INPUTS!$C$10=C27,INPUTS!$C$10+INPUTS!$C$10+INPUTS!$C$10=C27),INPUTS!$B$19+(INPUTS!$C$9*INPUTS!$C$8*(1+INPUTS!$B$24)^OUTPUT!C27),INPUTS!$B$19+INPUTS!$B$21*0.5),"0"))</f>
        <v>0</v>
      </c>
      <c r="G27" s="78">
        <f>IF(B27="no","",F27/(1+INPUTS!$B$23)^OUTPUT!C27)</f>
        <v>0</v>
      </c>
      <c r="H27" s="79">
        <f>IF(C27=0,F27-INPUTS!$C$9*INPUTS!$C$8,IF(F27="0",0,INPUTS!$B$19+0.5*INPUTS!$B$21))</f>
        <v>0</v>
      </c>
      <c r="I27" s="80">
        <f>IF(B27="no","",H27/(1+INPUTS!$B$23)^OUTPUT!C27)</f>
        <v>0</v>
      </c>
      <c r="J27" s="81"/>
      <c r="K27" s="82"/>
      <c r="L27" s="101">
        <f>IF($D27="0",0,INPUTS!$B$16*0.5)</f>
        <v>0</v>
      </c>
      <c r="M27" s="102">
        <f>L27/(1+INPUTS!$B$23)^OUTPUT!$C27</f>
        <v>0</v>
      </c>
      <c r="N27" s="103">
        <f>IF($D27="0",0,INPUTS!$B$21*0.5)</f>
        <v>0</v>
      </c>
      <c r="O27" s="102">
        <f>N27/(1+INPUTS!$B$23)^OUTPUT!$C27</f>
        <v>0</v>
      </c>
      <c r="P27" s="103">
        <f>IF(D27&lt;&gt;"0",IF(OR(C27=0,C27=INPUTS!B$8,C27=INPUTS!B$8+INPUTS!B$8,C27=INPUTS!B$8+INPUTS!B$8+INPUTS!B$8,C27=INPUTS!B$8+INPUTS!B$8+INPUTS!B$8+INPUTS!B$8),INPUTS!B$9*INPUTS!B$8*(1+INPUTS!$B$24)^OUTPUT!C27,INPUTS!B$19+INPUTS!B$21*0.5),0)</f>
        <v>0</v>
      </c>
      <c r="Q27" s="104">
        <f>P27/(1+INPUTS!B$23)^OUTPUT!C27</f>
        <v>0</v>
      </c>
    </row>
    <row r="28" spans="2:17">
      <c r="B28" s="75">
        <f t="shared" si="0"/>
        <v>25</v>
      </c>
      <c r="C28" s="76">
        <f t="shared" si="1"/>
        <v>25</v>
      </c>
      <c r="D28" s="77" t="str">
        <f>IF(C28=0,INPUTS!$B$12,IF(C28&lt;=INPUTS!$B$22,INPUTS!$B$14+INPUTS!$B$16*0.5,"0"))</f>
        <v>0</v>
      </c>
      <c r="E28" s="77">
        <f>IF(B28="no","",(D28/(1+INPUTS!$B$23)^OUTPUT!C28))</f>
        <v>0</v>
      </c>
      <c r="F28" s="78" t="str">
        <f>IF(C28=0,INPUTS!$B$18+INPUTS!$C$9*INPUTS!$C$8,IF(C28&lt;=INPUTS!$B$22,IF(OR(INPUTS!$C$10=C28,INPUTS!$C$10+INPUTS!$C$10=C28,INPUTS!$C$10+INPUTS!$C$10+INPUTS!$C$10=C28),INPUTS!$B$19+(INPUTS!$C$9*INPUTS!$C$8*(1+INPUTS!$B$24)^OUTPUT!C28),INPUTS!$B$19+INPUTS!$B$21*0.5),"0"))</f>
        <v>0</v>
      </c>
      <c r="G28" s="78">
        <f>IF(B28="no","",F28/(1+INPUTS!$B$23)^OUTPUT!C28)</f>
        <v>0</v>
      </c>
      <c r="H28" s="79">
        <f>IF(C28=0,F28-INPUTS!$C$9*INPUTS!$C$8,IF(F28="0",0,INPUTS!$B$19+0.5*INPUTS!$B$21))</f>
        <v>0</v>
      </c>
      <c r="I28" s="80">
        <f>IF(B28="no","",H28/(1+INPUTS!$B$23)^OUTPUT!C28)</f>
        <v>0</v>
      </c>
      <c r="J28" s="81"/>
      <c r="K28" s="82"/>
      <c r="L28" s="101">
        <f>IF($D28="0",0,INPUTS!$B$16*0.5)</f>
        <v>0</v>
      </c>
      <c r="M28" s="102">
        <f>L28/(1+INPUTS!$B$23)^OUTPUT!$C28</f>
        <v>0</v>
      </c>
      <c r="N28" s="103">
        <f>IF($D28="0",0,INPUTS!$B$21*0.5)</f>
        <v>0</v>
      </c>
      <c r="O28" s="102">
        <f>N28/(1+INPUTS!$B$23)^OUTPUT!$C28</f>
        <v>0</v>
      </c>
      <c r="P28" s="103">
        <f>IF(D28&lt;&gt;"0",IF(OR(C28=0,C28=INPUTS!B$8,C28=INPUTS!B$8+INPUTS!B$8,C28=INPUTS!B$8+INPUTS!B$8+INPUTS!B$8,C28=INPUTS!B$8+INPUTS!B$8+INPUTS!B$8+INPUTS!B$8),INPUTS!B$9*INPUTS!B$8*(1+INPUTS!$B$24)^OUTPUT!C28,INPUTS!B$19+INPUTS!B$21*0.5),0)</f>
        <v>0</v>
      </c>
      <c r="Q28" s="104">
        <f>P28/(1+INPUTS!B$23)^OUTPUT!C28</f>
        <v>0</v>
      </c>
    </row>
    <row r="29" spans="2:17">
      <c r="B29" s="75">
        <f t="shared" si="0"/>
        <v>26</v>
      </c>
      <c r="C29" s="76">
        <f t="shared" si="1"/>
        <v>26</v>
      </c>
      <c r="D29" s="77" t="str">
        <f>IF(C29=0,INPUTS!$B$12,IF(C29&lt;=INPUTS!$B$22,INPUTS!$B$14+INPUTS!$B$16*0.5,"0"))</f>
        <v>0</v>
      </c>
      <c r="E29" s="77">
        <f>IF(B29="no","",(D29/(1+INPUTS!$B$23)^OUTPUT!C29))</f>
        <v>0</v>
      </c>
      <c r="F29" s="78" t="str">
        <f>IF(C29=0,INPUTS!$B$18+INPUTS!$C$9*INPUTS!$C$8,IF(C29&lt;=INPUTS!$B$22,IF(OR(INPUTS!$C$10=C29,INPUTS!$C$10+INPUTS!$C$10=C29,INPUTS!$C$10+INPUTS!$C$10+INPUTS!$C$10=C29),INPUTS!$B$19+(INPUTS!$C$9*INPUTS!$C$8*(1+INPUTS!$B$24)^OUTPUT!C29),INPUTS!$B$19+INPUTS!$B$21*0.5),"0"))</f>
        <v>0</v>
      </c>
      <c r="G29" s="78">
        <f>IF(B29="no","",F29/(1+INPUTS!$B$23)^OUTPUT!C29)</f>
        <v>0</v>
      </c>
      <c r="H29" s="79">
        <f>IF(C29=0,F29-INPUTS!$C$9*INPUTS!$C$8,IF(F29="0",0,INPUTS!$B$19+0.5*INPUTS!$B$21))</f>
        <v>0</v>
      </c>
      <c r="I29" s="80">
        <f>IF(B29="no","",H29/(1+INPUTS!$B$23)^OUTPUT!C29)</f>
        <v>0</v>
      </c>
      <c r="J29" s="81"/>
      <c r="K29" s="82"/>
      <c r="L29" s="101">
        <f>IF($D29="0",0,INPUTS!$B$16*0.5)</f>
        <v>0</v>
      </c>
      <c r="M29" s="102">
        <f>L29/(1+INPUTS!$B$23)^OUTPUT!$C29</f>
        <v>0</v>
      </c>
      <c r="N29" s="103">
        <f>IF($D29="0",0,INPUTS!$B$21*0.5)</f>
        <v>0</v>
      </c>
      <c r="O29" s="102">
        <f>N29/(1+INPUTS!$B$23)^OUTPUT!$C29</f>
        <v>0</v>
      </c>
      <c r="P29" s="103">
        <f>IF(D29&lt;&gt;"0",IF(OR(C29=0,C29=INPUTS!B$8,C29=INPUTS!B$8+INPUTS!B$8,C29=INPUTS!B$8+INPUTS!B$8+INPUTS!B$8,C29=INPUTS!B$8+INPUTS!B$8+INPUTS!B$8+INPUTS!B$8),INPUTS!B$9*INPUTS!B$8*(1+INPUTS!$B$24)^OUTPUT!C29,INPUTS!B$19+INPUTS!B$21*0.5),0)</f>
        <v>0</v>
      </c>
      <c r="Q29" s="104">
        <f>P29/(1+INPUTS!B$23)^OUTPUT!C29</f>
        <v>0</v>
      </c>
    </row>
    <row r="30" spans="2:17">
      <c r="B30" s="75">
        <f t="shared" si="0"/>
        <v>27</v>
      </c>
      <c r="C30" s="76">
        <f t="shared" si="1"/>
        <v>27</v>
      </c>
      <c r="D30" s="77" t="str">
        <f>IF(C30=0,INPUTS!$B$12,IF(C30&lt;=INPUTS!$B$22,INPUTS!$B$14+INPUTS!$B$16*0.5,"0"))</f>
        <v>0</v>
      </c>
      <c r="E30" s="77">
        <f>IF(B30="no","",(D30/(1+INPUTS!$B$23)^OUTPUT!C30))</f>
        <v>0</v>
      </c>
      <c r="F30" s="78" t="str">
        <f>IF(C30=0,INPUTS!$B$18+INPUTS!$C$9*INPUTS!$C$8,IF(C30&lt;=INPUTS!$B$22,IF(OR(INPUTS!$C$10=C30,INPUTS!$C$10+INPUTS!$C$10=C30,INPUTS!$C$10+INPUTS!$C$10+INPUTS!$C$10=C30),INPUTS!$B$19+(INPUTS!$C$9*INPUTS!$C$8*(1+INPUTS!$B$24)^OUTPUT!C30),INPUTS!$B$19+INPUTS!$B$21*0.5),"0"))</f>
        <v>0</v>
      </c>
      <c r="G30" s="78">
        <f>IF(B30="no","",F30/(1+INPUTS!$B$23)^OUTPUT!C30)</f>
        <v>0</v>
      </c>
      <c r="H30" s="79">
        <f>IF(C30=0,F30-INPUTS!$C$9*INPUTS!$C$8,IF(F30="0",0,INPUTS!$B$19+0.5*INPUTS!$B$21))</f>
        <v>0</v>
      </c>
      <c r="I30" s="80">
        <f>IF(B30="no","",H30/(1+INPUTS!$B$23)^OUTPUT!C30)</f>
        <v>0</v>
      </c>
      <c r="J30" s="81"/>
      <c r="K30" s="82"/>
      <c r="L30" s="101">
        <f>IF($D30="0",0,INPUTS!$B$16*0.5)</f>
        <v>0</v>
      </c>
      <c r="M30" s="102">
        <f>L30/(1+INPUTS!$B$23)^OUTPUT!$C30</f>
        <v>0</v>
      </c>
      <c r="N30" s="103">
        <f>IF($D30="0",0,INPUTS!$B$21*0.5)</f>
        <v>0</v>
      </c>
      <c r="O30" s="102">
        <f>N30/(1+INPUTS!$B$23)^OUTPUT!$C30</f>
        <v>0</v>
      </c>
      <c r="P30" s="103">
        <f>IF(D30&lt;&gt;"0",IF(OR(C30=0,C30=INPUTS!B$8,C30=INPUTS!B$8+INPUTS!B$8,C30=INPUTS!B$8+INPUTS!B$8+INPUTS!B$8,C30=INPUTS!B$8+INPUTS!B$8+INPUTS!B$8+INPUTS!B$8),INPUTS!B$9*INPUTS!B$8*(1+INPUTS!$B$24)^OUTPUT!C30,INPUTS!B$19+INPUTS!B$21*0.5),0)</f>
        <v>0</v>
      </c>
      <c r="Q30" s="104">
        <f>P30/(1+INPUTS!B$23)^OUTPUT!C30</f>
        <v>0</v>
      </c>
    </row>
    <row r="31" spans="2:17">
      <c r="B31" s="75">
        <f t="shared" si="0"/>
        <v>28</v>
      </c>
      <c r="C31" s="76">
        <f t="shared" si="1"/>
        <v>28</v>
      </c>
      <c r="D31" s="77" t="str">
        <f>IF(C31=0,INPUTS!$B$12,IF(C31&lt;=INPUTS!$B$22,INPUTS!$B$14+INPUTS!$B$16*0.5,"0"))</f>
        <v>0</v>
      </c>
      <c r="E31" s="77">
        <f>IF(B31="no","",(D31/(1+INPUTS!$B$23)^OUTPUT!C31))</f>
        <v>0</v>
      </c>
      <c r="F31" s="78" t="str">
        <f>IF(C31=0,INPUTS!$B$18+INPUTS!$C$9*INPUTS!$C$8,IF(C31&lt;=INPUTS!$B$22,IF(OR(INPUTS!$C$10=C31,INPUTS!$C$10+INPUTS!$C$10=C31,INPUTS!$C$10+INPUTS!$C$10+INPUTS!$C$10=C31),INPUTS!$B$19+(INPUTS!$C$9*INPUTS!$C$8*(1+INPUTS!$B$24)^OUTPUT!C31),INPUTS!$B$19+INPUTS!$B$21*0.5),"0"))</f>
        <v>0</v>
      </c>
      <c r="G31" s="78">
        <f>IF(B31="no","",F31/(1+INPUTS!$B$23)^OUTPUT!C31)</f>
        <v>0</v>
      </c>
      <c r="H31" s="79">
        <f>IF(C31=0,F31-INPUTS!$C$9*INPUTS!$C$8,IF(F31="0",0,INPUTS!$B$19+0.5*INPUTS!$B$21))</f>
        <v>0</v>
      </c>
      <c r="I31" s="80">
        <f>IF(B31="no","",H31/(1+INPUTS!$B$23)^OUTPUT!C31)</f>
        <v>0</v>
      </c>
      <c r="J31" s="81"/>
      <c r="K31" s="82"/>
      <c r="L31" s="101">
        <f>IF($D31="0",0,INPUTS!$B$16*0.5)</f>
        <v>0</v>
      </c>
      <c r="M31" s="102">
        <f>L31/(1+INPUTS!$B$23)^OUTPUT!$C31</f>
        <v>0</v>
      </c>
      <c r="N31" s="103">
        <f>IF($D31="0",0,INPUTS!$B$21*0.5)</f>
        <v>0</v>
      </c>
      <c r="O31" s="102">
        <f>N31/(1+INPUTS!$B$23)^OUTPUT!$C31</f>
        <v>0</v>
      </c>
      <c r="P31" s="103">
        <f>IF(D31&lt;&gt;"0",IF(OR(C31=0,C31=INPUTS!B$8,C31=INPUTS!B$8+INPUTS!B$8,C31=INPUTS!B$8+INPUTS!B$8+INPUTS!B$8,C31=INPUTS!B$8+INPUTS!B$8+INPUTS!B$8+INPUTS!B$8),INPUTS!B$9*INPUTS!B$8*(1+INPUTS!$B$24)^OUTPUT!C31,INPUTS!B$19+INPUTS!B$21*0.5),0)</f>
        <v>0</v>
      </c>
      <c r="Q31" s="104">
        <f>P31/(1+INPUTS!B$23)^OUTPUT!C31</f>
        <v>0</v>
      </c>
    </row>
    <row r="32" spans="2:17">
      <c r="B32" s="75">
        <f t="shared" si="0"/>
        <v>29</v>
      </c>
      <c r="C32" s="76">
        <f t="shared" si="1"/>
        <v>29</v>
      </c>
      <c r="D32" s="77" t="str">
        <f>IF(C32=0,INPUTS!$B$12,IF(C32&lt;=INPUTS!$B$22,INPUTS!$B$14+INPUTS!$B$16*0.5,"0"))</f>
        <v>0</v>
      </c>
      <c r="E32" s="77">
        <f>IF(B32="no","",(D32/(1+INPUTS!$B$23)^OUTPUT!C32))</f>
        <v>0</v>
      </c>
      <c r="F32" s="78" t="str">
        <f>IF(C32=0,INPUTS!$B$18+INPUTS!$C$9*INPUTS!$C$8,IF(C32&lt;=INPUTS!$B$22,IF(OR(INPUTS!$C$10=C32,INPUTS!$C$10+INPUTS!$C$10=C32,INPUTS!$C$10+INPUTS!$C$10+INPUTS!$C$10=C32),INPUTS!$B$19+(INPUTS!$C$9*INPUTS!$C$8*(1+INPUTS!$B$24)^OUTPUT!C32),INPUTS!$B$19+INPUTS!$B$21*0.5),"0"))</f>
        <v>0</v>
      </c>
      <c r="G32" s="78">
        <f>IF(B32="no","",F32/(1+INPUTS!$B$23)^OUTPUT!C32)</f>
        <v>0</v>
      </c>
      <c r="H32" s="79">
        <f>IF(C32=0,F32-INPUTS!$C$9*INPUTS!$C$8,IF(F32="0",0,INPUTS!$B$19+0.5*INPUTS!$B$21))</f>
        <v>0</v>
      </c>
      <c r="I32" s="80">
        <f>IF(B32="no","",H32/(1+INPUTS!$B$23)^OUTPUT!C32)</f>
        <v>0</v>
      </c>
      <c r="J32" s="81"/>
      <c r="K32" s="82"/>
      <c r="L32" s="101">
        <f>IF($D32="0",0,INPUTS!$B$16*0.5)</f>
        <v>0</v>
      </c>
      <c r="M32" s="102">
        <f>L32/(1+INPUTS!$B$23)^OUTPUT!$C32</f>
        <v>0</v>
      </c>
      <c r="N32" s="103">
        <f>IF($D32="0",0,INPUTS!$B$21*0.5)</f>
        <v>0</v>
      </c>
      <c r="O32" s="102">
        <f>N32/(1+INPUTS!$B$23)^OUTPUT!$C32</f>
        <v>0</v>
      </c>
      <c r="P32" s="103">
        <f>IF(D32&lt;&gt;"0",IF(OR(C32=0,C32=INPUTS!B$8,C32=INPUTS!B$8+INPUTS!B$8,C32=INPUTS!B$8+INPUTS!B$8+INPUTS!B$8,C32=INPUTS!B$8+INPUTS!B$8+INPUTS!B$8+INPUTS!B$8),INPUTS!B$9*INPUTS!B$8*(1+INPUTS!$B$24)^OUTPUT!C32,INPUTS!B$19+INPUTS!B$21*0.5),0)</f>
        <v>0</v>
      </c>
      <c r="Q32" s="104">
        <f>P32/(1+INPUTS!B$23)^OUTPUT!C32</f>
        <v>0</v>
      </c>
    </row>
    <row r="33" spans="2:18">
      <c r="B33" s="75">
        <f t="shared" si="0"/>
        <v>30</v>
      </c>
      <c r="C33" s="76">
        <f t="shared" si="1"/>
        <v>30</v>
      </c>
      <c r="D33" s="77" t="str">
        <f>IF(C33=0,INPUTS!$B$12,IF(C33&lt;=INPUTS!$B$22,INPUTS!$B$14+INPUTS!$B$16*0.5,"0"))</f>
        <v>0</v>
      </c>
      <c r="E33" s="77">
        <f>IF(B33="no","",(D33/(1+INPUTS!$B$23)^OUTPUT!C33))</f>
        <v>0</v>
      </c>
      <c r="F33" s="78" t="str">
        <f>IF(C33=0,INPUTS!$B$18+INPUTS!$C$9*INPUTS!$C$8,IF(C33&lt;=INPUTS!$B$22,IF(OR(INPUTS!$C$10=C33,INPUTS!$C$10+INPUTS!$C$10=C33,INPUTS!$C$10+INPUTS!$C$10+INPUTS!$C$10=C33),INPUTS!$B$19+(INPUTS!$C$9*INPUTS!$C$8*(1+INPUTS!$B$24)^OUTPUT!C33),INPUTS!$B$19+INPUTS!$B$21*0.5),"0"))</f>
        <v>0</v>
      </c>
      <c r="G33" s="78">
        <f>IF(B33="no","",F33/(1+INPUTS!$B$23)^OUTPUT!C33)</f>
        <v>0</v>
      </c>
      <c r="H33" s="79">
        <f>IF(C33=0,F33-INPUTS!$C$9*INPUTS!$C$8,IF(F33="0",0,INPUTS!$B$19+0.5*INPUTS!$B$21))</f>
        <v>0</v>
      </c>
      <c r="I33" s="80">
        <f>IF(B33="no","",H33/(1+INPUTS!$B$23)^OUTPUT!C33)</f>
        <v>0</v>
      </c>
      <c r="J33" s="81"/>
      <c r="K33" s="82"/>
      <c r="L33" s="101">
        <f>IF($D33="0",0,INPUTS!$B$16*0.5)</f>
        <v>0</v>
      </c>
      <c r="M33" s="102">
        <f>L33/(1+INPUTS!$B$23)^OUTPUT!$C33</f>
        <v>0</v>
      </c>
      <c r="N33" s="103">
        <f>IF($D33="0",0,INPUTS!$B$21*0.5)</f>
        <v>0</v>
      </c>
      <c r="O33" s="102">
        <f>N33/(1+INPUTS!$B$23)^OUTPUT!$C33</f>
        <v>0</v>
      </c>
      <c r="P33" s="103">
        <f>IF(D33&lt;&gt;"0",IF(OR(C33=0,C33=INPUTS!B$8,C33=INPUTS!B$8+INPUTS!B$8,C33=INPUTS!B$8+INPUTS!B$8+INPUTS!B$8,C33=INPUTS!B$8+INPUTS!B$8+INPUTS!B$8+INPUTS!B$8),INPUTS!B$9*INPUTS!B$8*(1+INPUTS!$B$24)^OUTPUT!C33,INPUTS!B$19+INPUTS!B$21*0.5),0)</f>
        <v>0</v>
      </c>
      <c r="Q33" s="104">
        <f>P33/(1+INPUTS!B$23)^OUTPUT!C33</f>
        <v>0</v>
      </c>
    </row>
    <row r="34" spans="2:18">
      <c r="B34" s="75"/>
      <c r="C34" s="76"/>
      <c r="D34" s="76"/>
      <c r="E34" s="76"/>
      <c r="F34" s="76"/>
      <c r="G34" s="76"/>
      <c r="H34" s="76"/>
      <c r="I34" s="76"/>
      <c r="J34" s="76"/>
      <c r="K34" s="83"/>
      <c r="L34" s="75"/>
      <c r="M34" s="105"/>
      <c r="N34" s="105"/>
      <c r="O34" s="105"/>
      <c r="P34" s="105"/>
      <c r="Q34" s="106"/>
    </row>
    <row r="35" spans="2:18" ht="17" thickBot="1">
      <c r="B35" s="84"/>
      <c r="C35" s="85" t="s">
        <v>29</v>
      </c>
      <c r="D35" s="85"/>
      <c r="E35" s="86">
        <f>SUM(E3:E34)</f>
        <v>56995.828025057694</v>
      </c>
      <c r="F35" s="87"/>
      <c r="G35" s="88">
        <f>SUM(G3:G34)</f>
        <v>191632.28538483102</v>
      </c>
      <c r="H35" s="87"/>
      <c r="I35" s="89">
        <f t="shared" ref="I35:K35" si="3">SUM(I3:I34)</f>
        <v>88468.238862773331</v>
      </c>
      <c r="J35" s="87"/>
      <c r="K35" s="90">
        <f t="shared" si="3"/>
        <v>0</v>
      </c>
      <c r="L35" s="107"/>
      <c r="M35" s="108">
        <f>SUM(M3:M33)</f>
        <v>3043.6256963092787</v>
      </c>
      <c r="N35" s="109">
        <f>SUM(N3:N33)</f>
        <v>3100</v>
      </c>
      <c r="O35" s="108">
        <f>SUM(O3:O33)</f>
        <v>1521.8128481546394</v>
      </c>
      <c r="P35" s="109"/>
      <c r="Q35" s="110">
        <f>SUM(Q3:Q33)</f>
        <v>171508.66700492724</v>
      </c>
      <c r="R35" s="13"/>
    </row>
    <row r="38" spans="2:18">
      <c r="G38" s="13"/>
      <c r="I38" s="13"/>
    </row>
  </sheetData>
  <mergeCells count="4">
    <mergeCell ref="S2:U2"/>
    <mergeCell ref="S6:U6"/>
    <mergeCell ref="B1:K1"/>
    <mergeCell ref="L1:Q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2C512-96E1-A147-9237-628455A02E9E}">
  <dimension ref="A1:L34"/>
  <sheetViews>
    <sheetView workbookViewId="0">
      <selection activeCell="G13" sqref="G13"/>
    </sheetView>
  </sheetViews>
  <sheetFormatPr baseColWidth="10" defaultRowHeight="16"/>
  <cols>
    <col min="2" max="4" width="12.1640625" bestFit="1" customWidth="1"/>
    <col min="5" max="5" width="13" bestFit="1" customWidth="1"/>
    <col min="6" max="7" width="12.1640625" bestFit="1" customWidth="1"/>
    <col min="8" max="9" width="11.1640625" bestFit="1" customWidth="1"/>
  </cols>
  <sheetData>
    <row r="1" spans="1:12">
      <c r="A1" s="1" t="str">
        <f>OUTPUT!C2</f>
        <v>Time</v>
      </c>
      <c r="B1" s="1" t="str">
        <f>OUTPUT!D2</f>
        <v>CFs</v>
      </c>
      <c r="C1" s="1" t="str">
        <f>OUTPUT!S3</f>
        <v>HLUC-3-PUC-1 Grid Strengthening</v>
      </c>
      <c r="D1" s="1" t="str">
        <f>OUTPUT!F2</f>
        <v>CFs</v>
      </c>
      <c r="E1" s="1" t="str">
        <f>OUTPUT!T3</f>
        <v>HLUC-3-PUC-2  Substation ESS</v>
      </c>
      <c r="F1" s="1" t="str">
        <f>OUTPUT!H2</f>
        <v>CFs</v>
      </c>
      <c r="G1" s="1" t="str">
        <f>OUTPUT!U3</f>
        <v>HLUC-3-PUC-3  BESS</v>
      </c>
      <c r="H1" s="1" t="s">
        <v>30</v>
      </c>
      <c r="I1" s="1" t="str">
        <f>OUTPUT!K2</f>
        <v>Scenario 3</v>
      </c>
      <c r="J1" s="1"/>
      <c r="K1" s="1"/>
      <c r="L1" s="1"/>
    </row>
    <row r="2" spans="1:12">
      <c r="A2">
        <f>OUTPUT!C3</f>
        <v>0</v>
      </c>
      <c r="B2" s="9">
        <f>-OUTPUT!D3</f>
        <v>-27223.635600000001</v>
      </c>
      <c r="C2" s="9">
        <f>-OUTPUT!E3</f>
        <v>-27223.635600000001</v>
      </c>
      <c r="D2" s="9">
        <f>-OUTPUT!F3</f>
        <v>-118342.56843004483</v>
      </c>
      <c r="E2" s="9">
        <f>-OUTPUT!G3</f>
        <v>-118342.56843004483</v>
      </c>
      <c r="F2" s="9">
        <f>-OUTPUT!H3</f>
        <v>-43872.125999999931</v>
      </c>
      <c r="G2" s="9">
        <f>-OUTPUT!I3</f>
        <v>-43872.125999999931</v>
      </c>
      <c r="H2" s="9">
        <f>-OUTPUT!J3</f>
        <v>0</v>
      </c>
      <c r="I2" s="9">
        <f>-OUTPUT!K3</f>
        <v>0</v>
      </c>
    </row>
    <row r="3" spans="1:12">
      <c r="A3">
        <f>OUTPUT!C4</f>
        <v>1</v>
      </c>
      <c r="B3" s="9">
        <f>-OUTPUT!D4</f>
        <v>-3032.3635600000002</v>
      </c>
      <c r="C3" s="9">
        <f>-OUTPUT!E4</f>
        <v>-2807.7440370370373</v>
      </c>
      <c r="D3" s="9">
        <f>-OUTPUT!F4</f>
        <v>-4542.2125999999935</v>
      </c>
      <c r="E3" s="9">
        <f>-OUTPUT!G4</f>
        <v>-4205.7524074074008</v>
      </c>
      <c r="F3" s="9">
        <f>-OUTPUT!H4</f>
        <v>-4542.2125999999935</v>
      </c>
      <c r="G3" s="9">
        <f>-OUTPUT!I4</f>
        <v>-4205.7524074074008</v>
      </c>
      <c r="H3" s="9">
        <f>-OUTPUT!J4</f>
        <v>0</v>
      </c>
      <c r="I3" s="9">
        <f>-OUTPUT!K4</f>
        <v>0</v>
      </c>
    </row>
    <row r="4" spans="1:12">
      <c r="A4">
        <f>OUTPUT!C5</f>
        <v>2</v>
      </c>
      <c r="B4" s="9">
        <f>-OUTPUT!D5</f>
        <v>-3032.3635600000002</v>
      </c>
      <c r="C4" s="9">
        <f>-OUTPUT!E5</f>
        <v>-2599.7629972565155</v>
      </c>
      <c r="D4" s="9">
        <f>-OUTPUT!F5</f>
        <v>-4542.2125999999935</v>
      </c>
      <c r="E4" s="9">
        <f>-OUTPUT!G5</f>
        <v>-3894.2151920438896</v>
      </c>
      <c r="F4" s="9">
        <f>-OUTPUT!H5</f>
        <v>-4542.2125999999935</v>
      </c>
      <c r="G4" s="9">
        <f>-OUTPUT!I5</f>
        <v>-3894.2151920438896</v>
      </c>
      <c r="H4" s="9">
        <f>-OUTPUT!J5</f>
        <v>0</v>
      </c>
      <c r="I4" s="9">
        <f>-OUTPUT!K5</f>
        <v>0</v>
      </c>
    </row>
    <row r="5" spans="1:12">
      <c r="A5">
        <f>OUTPUT!C6</f>
        <v>3</v>
      </c>
      <c r="B5" s="9">
        <f>-OUTPUT!D6</f>
        <v>-3032.3635600000002</v>
      </c>
      <c r="C5" s="9">
        <f>-OUTPUT!E6</f>
        <v>-2407.1879604226997</v>
      </c>
      <c r="D5" s="9">
        <f>-OUTPUT!F6</f>
        <v>-4542.2125999999935</v>
      </c>
      <c r="E5" s="9">
        <f>-OUTPUT!G6</f>
        <v>-3605.754807448046</v>
      </c>
      <c r="F5" s="9">
        <f>-OUTPUT!H6</f>
        <v>-4542.2125999999935</v>
      </c>
      <c r="G5" s="9">
        <f>-OUTPUT!I6</f>
        <v>-3605.754807448046</v>
      </c>
      <c r="H5" s="9">
        <f>-OUTPUT!J6</f>
        <v>0</v>
      </c>
      <c r="I5" s="9">
        <f>-OUTPUT!K6</f>
        <v>0</v>
      </c>
    </row>
    <row r="6" spans="1:12">
      <c r="A6">
        <f>OUTPUT!C7</f>
        <v>4</v>
      </c>
      <c r="B6" s="9">
        <f>-OUTPUT!D7</f>
        <v>-3032.3635600000002</v>
      </c>
      <c r="C6" s="9">
        <f>-OUTPUT!E7</f>
        <v>-2228.8777411321289</v>
      </c>
      <c r="D6" s="9">
        <f>-OUTPUT!F7</f>
        <v>-4542.2125999999935</v>
      </c>
      <c r="E6" s="9">
        <f>-OUTPUT!G7</f>
        <v>-3338.6618587481903</v>
      </c>
      <c r="F6" s="9">
        <f>-OUTPUT!H7</f>
        <v>-4542.2125999999935</v>
      </c>
      <c r="G6" s="9">
        <f>-OUTPUT!I7</f>
        <v>-3338.6618587481903</v>
      </c>
      <c r="H6" s="9">
        <f>-OUTPUT!J7</f>
        <v>0</v>
      </c>
      <c r="I6" s="9">
        <f>-OUTPUT!K7</f>
        <v>0</v>
      </c>
    </row>
    <row r="7" spans="1:12">
      <c r="A7">
        <f>OUTPUT!C8</f>
        <v>5</v>
      </c>
      <c r="B7" s="9">
        <f>-OUTPUT!D8</f>
        <v>-3032.3635600000002</v>
      </c>
      <c r="C7" s="9">
        <f>-OUTPUT!E8</f>
        <v>-2063.7756862334527</v>
      </c>
      <c r="D7" s="9">
        <f>-OUTPUT!F8</f>
        <v>-4542.2125999999935</v>
      </c>
      <c r="E7" s="9">
        <f>-OUTPUT!G8</f>
        <v>-3091.3535729149912</v>
      </c>
      <c r="F7" s="9">
        <f>-OUTPUT!H8</f>
        <v>-4542.2125999999935</v>
      </c>
      <c r="G7" s="9">
        <f>-OUTPUT!I8</f>
        <v>-3091.3535729149912</v>
      </c>
      <c r="H7" s="9">
        <f>-OUTPUT!J8</f>
        <v>0</v>
      </c>
      <c r="I7" s="9">
        <f>-OUTPUT!K8</f>
        <v>0</v>
      </c>
    </row>
    <row r="8" spans="1:12">
      <c r="A8">
        <f>OUTPUT!C9</f>
        <v>6</v>
      </c>
      <c r="B8" s="9">
        <f>-OUTPUT!D9</f>
        <v>-3032.3635600000002</v>
      </c>
      <c r="C8" s="9">
        <f>-OUTPUT!E9</f>
        <v>-1910.9034131791227</v>
      </c>
      <c r="D8" s="9">
        <f>-OUTPUT!F9</f>
        <v>-4542.2125999999935</v>
      </c>
      <c r="E8" s="9">
        <f>-OUTPUT!G9</f>
        <v>-2862.3644193657324</v>
      </c>
      <c r="F8" s="9">
        <f>-OUTPUT!H9</f>
        <v>-4542.2125999999935</v>
      </c>
      <c r="G8" s="9">
        <f>-OUTPUT!I9</f>
        <v>-2862.3644193657324</v>
      </c>
      <c r="H8" s="9">
        <f>-OUTPUT!J9</f>
        <v>0</v>
      </c>
      <c r="I8" s="9">
        <f>-OUTPUT!K9</f>
        <v>0</v>
      </c>
    </row>
    <row r="9" spans="1:12">
      <c r="A9">
        <f>OUTPUT!C10</f>
        <v>7</v>
      </c>
      <c r="B9" s="9">
        <f>-OUTPUT!D10</f>
        <v>-3032.3635600000002</v>
      </c>
      <c r="C9" s="9">
        <f>-OUTPUT!E10</f>
        <v>-1769.3550122028914</v>
      </c>
      <c r="D9" s="9">
        <f>-OUTPUT!F10</f>
        <v>-4542.2125999999935</v>
      </c>
      <c r="E9" s="9">
        <f>-OUTPUT!G10</f>
        <v>-2650.337425338641</v>
      </c>
      <c r="F9" s="9">
        <f>-OUTPUT!H10</f>
        <v>-4542.2125999999935</v>
      </c>
      <c r="G9" s="9">
        <f>-OUTPUT!I10</f>
        <v>-2650.337425338641</v>
      </c>
      <c r="H9" s="9">
        <f>-OUTPUT!J10</f>
        <v>0</v>
      </c>
      <c r="I9" s="9">
        <f>-OUTPUT!K10</f>
        <v>0</v>
      </c>
    </row>
    <row r="10" spans="1:12">
      <c r="A10">
        <f>OUTPUT!C11</f>
        <v>8</v>
      </c>
      <c r="B10" s="9">
        <f>-OUTPUT!D11</f>
        <v>-3032.3635600000002</v>
      </c>
      <c r="C10" s="9">
        <f>-OUTPUT!E11</f>
        <v>-1638.2916779656402</v>
      </c>
      <c r="D10" s="9">
        <f>-OUTPUT!F11</f>
        <v>-45483.268095380226</v>
      </c>
      <c r="E10" s="9">
        <f>-OUTPUT!G11</f>
        <v>-24573.194517395379</v>
      </c>
      <c r="F10" s="9">
        <f>-OUTPUT!H11</f>
        <v>-4542.2125999999935</v>
      </c>
      <c r="G10" s="9">
        <f>-OUTPUT!I11</f>
        <v>-2454.0161345728156</v>
      </c>
      <c r="H10" s="9">
        <f>-OUTPUT!J11</f>
        <v>0</v>
      </c>
      <c r="I10" s="9">
        <f>-OUTPUT!K11</f>
        <v>0</v>
      </c>
    </row>
    <row r="11" spans="1:12">
      <c r="A11">
        <f>OUTPUT!C12</f>
        <v>9</v>
      </c>
      <c r="B11" s="9">
        <f>-OUTPUT!D12</f>
        <v>-3032.3635600000002</v>
      </c>
      <c r="C11" s="9">
        <f>-OUTPUT!E12</f>
        <v>-1516.936738857074</v>
      </c>
      <c r="D11" s="9">
        <f>-OUTPUT!F12</f>
        <v>-4542.2125999999935</v>
      </c>
      <c r="E11" s="9">
        <f>-OUTPUT!G12</f>
        <v>-2272.2371616414957</v>
      </c>
      <c r="F11" s="9">
        <f>-OUTPUT!H12</f>
        <v>-4542.2125999999935</v>
      </c>
      <c r="G11" s="9">
        <f>-OUTPUT!I12</f>
        <v>-2272.2371616414957</v>
      </c>
      <c r="H11" s="9">
        <f>-OUTPUT!J12</f>
        <v>0</v>
      </c>
      <c r="I11" s="9">
        <f>-OUTPUT!K12</f>
        <v>0</v>
      </c>
    </row>
    <row r="12" spans="1:12">
      <c r="A12">
        <f>OUTPUT!C13</f>
        <v>10</v>
      </c>
      <c r="B12" s="9">
        <f>-OUTPUT!D13</f>
        <v>-3032.3635600000002</v>
      </c>
      <c r="C12" s="9">
        <f>-OUTPUT!E13</f>
        <v>-1404.5710544972908</v>
      </c>
      <c r="D12" s="9">
        <f>-OUTPUT!F13</f>
        <v>-4542.2125999999935</v>
      </c>
      <c r="E12" s="9">
        <f>-OUTPUT!G13</f>
        <v>-2103.9232978161995</v>
      </c>
      <c r="F12" s="9">
        <f>-OUTPUT!H13</f>
        <v>-4542.2125999999935</v>
      </c>
      <c r="G12" s="9">
        <f>-OUTPUT!I13</f>
        <v>-2103.9232978161995</v>
      </c>
      <c r="H12" s="9">
        <f>-OUTPUT!J13</f>
        <v>0</v>
      </c>
      <c r="I12" s="9">
        <f>-OUTPUT!K13</f>
        <v>0</v>
      </c>
    </row>
    <row r="13" spans="1:12">
      <c r="A13">
        <f>OUTPUT!C14</f>
        <v>11</v>
      </c>
      <c r="B13" s="9">
        <f>-OUTPUT!D14</f>
        <v>-3032.3635600000002</v>
      </c>
      <c r="C13" s="9">
        <f>-OUTPUT!E14</f>
        <v>-1300.5287541641583</v>
      </c>
      <c r="D13" s="9">
        <f>-OUTPUT!F14</f>
        <v>-4542.2125999999935</v>
      </c>
      <c r="E13" s="9">
        <f>-OUTPUT!G14</f>
        <v>-1948.0771276075923</v>
      </c>
      <c r="F13" s="9">
        <f>-OUTPUT!H14</f>
        <v>-4542.2125999999935</v>
      </c>
      <c r="G13" s="9">
        <f>-OUTPUT!I14</f>
        <v>-1948.0771276075923</v>
      </c>
      <c r="H13" s="9">
        <f>-OUTPUT!J14</f>
        <v>0</v>
      </c>
      <c r="I13" s="9">
        <f>-OUTPUT!K14</f>
        <v>0</v>
      </c>
    </row>
    <row r="14" spans="1:12">
      <c r="A14">
        <f>OUTPUT!C15</f>
        <v>12</v>
      </c>
      <c r="B14" s="9">
        <f>-OUTPUT!D15</f>
        <v>-3032.3635600000002</v>
      </c>
      <c r="C14" s="9">
        <f>-OUTPUT!E15</f>
        <v>-1204.193290892739</v>
      </c>
      <c r="D14" s="9">
        <f>-OUTPUT!F15</f>
        <v>-4542.2125999999935</v>
      </c>
      <c r="E14" s="9">
        <f>-OUTPUT!G15</f>
        <v>-1803.7751181551778</v>
      </c>
      <c r="F14" s="9">
        <f>-OUTPUT!H15</f>
        <v>-4542.2125999999935</v>
      </c>
      <c r="G14" s="9">
        <f>-OUTPUT!I15</f>
        <v>-1803.7751181551778</v>
      </c>
      <c r="H14" s="9">
        <f>-OUTPUT!J15</f>
        <v>0</v>
      </c>
      <c r="I14" s="9">
        <f>-OUTPUT!K15</f>
        <v>0</v>
      </c>
    </row>
    <row r="15" spans="1:12">
      <c r="A15">
        <f>OUTPUT!C16</f>
        <v>13</v>
      </c>
      <c r="B15" s="9">
        <f>-OUTPUT!D16</f>
        <v>-3032.3635600000002</v>
      </c>
      <c r="C15" s="9">
        <f>-OUTPUT!E16</f>
        <v>-1114.9937878636472</v>
      </c>
      <c r="D15" s="9">
        <f>-OUTPUT!F16</f>
        <v>-4542.2125999999935</v>
      </c>
      <c r="E15" s="9">
        <f>-OUTPUT!G16</f>
        <v>-1670.1621464399796</v>
      </c>
      <c r="F15" s="9">
        <f>-OUTPUT!H16</f>
        <v>-4542.2125999999935</v>
      </c>
      <c r="G15" s="9">
        <f>-OUTPUT!I16</f>
        <v>-1670.1621464399796</v>
      </c>
      <c r="H15" s="9">
        <f>-OUTPUT!J16</f>
        <v>0</v>
      </c>
      <c r="I15" s="9">
        <f>-OUTPUT!K16</f>
        <v>0</v>
      </c>
    </row>
    <row r="16" spans="1:12">
      <c r="A16">
        <f>OUTPUT!C17</f>
        <v>14</v>
      </c>
      <c r="B16" s="9">
        <f>-OUTPUT!D17</f>
        <v>-3032.3635600000002</v>
      </c>
      <c r="C16" s="9">
        <f>-OUTPUT!E17</f>
        <v>-1032.4016554293028</v>
      </c>
      <c r="D16" s="9">
        <f>-OUTPUT!F17</f>
        <v>-4542.2125999999935</v>
      </c>
      <c r="E16" s="9">
        <f>-OUTPUT!G17</f>
        <v>-1546.4464318888697</v>
      </c>
      <c r="F16" s="9">
        <f>-OUTPUT!H17</f>
        <v>-4542.2125999999935</v>
      </c>
      <c r="G16" s="9">
        <f>-OUTPUT!I17</f>
        <v>-1546.4464318888697</v>
      </c>
      <c r="H16" s="9">
        <f>-OUTPUT!J17</f>
        <v>0</v>
      </c>
      <c r="I16" s="9">
        <f>-OUTPUT!K17</f>
        <v>0</v>
      </c>
    </row>
    <row r="17" spans="1:9">
      <c r="A17">
        <f>OUTPUT!C18</f>
        <v>15</v>
      </c>
      <c r="B17" s="9">
        <f>-OUTPUT!D18</f>
        <v>-3032.3635600000002</v>
      </c>
      <c r="C17" s="9">
        <f>-OUTPUT!E18</f>
        <v>-955.92745873083584</v>
      </c>
      <c r="D17" s="9">
        <f>-OUTPUT!F18</f>
        <v>-4542.2125999999935</v>
      </c>
      <c r="E17" s="9">
        <f>-OUTPUT!G18</f>
        <v>-1431.8948443415459</v>
      </c>
      <c r="F17" s="9">
        <f>-OUTPUT!H18</f>
        <v>-4542.2125999999935</v>
      </c>
      <c r="G17" s="9">
        <f>-OUTPUT!I18</f>
        <v>-1431.8948443415459</v>
      </c>
      <c r="H17" s="9">
        <f>-OUTPUT!J18</f>
        <v>0</v>
      </c>
      <c r="I17" s="9">
        <f>-OUTPUT!K18</f>
        <v>0</v>
      </c>
    </row>
    <row r="18" spans="1:9">
      <c r="A18">
        <f>OUTPUT!C19</f>
        <v>16</v>
      </c>
      <c r="B18" s="9">
        <f>-OUTPUT!D19</f>
        <v>-3032.3635600000002</v>
      </c>
      <c r="C18" s="9">
        <f>-OUTPUT!E19</f>
        <v>-885.11801734336655</v>
      </c>
      <c r="D18" s="9">
        <f>-OUTPUT!F19</f>
        <v>-27065.817992546916</v>
      </c>
      <c r="E18" s="9">
        <f>-OUTPUT!G19</f>
        <v>-7900.2542687656951</v>
      </c>
      <c r="F18" s="9">
        <f>-OUTPUT!H19</f>
        <v>-4542.2125999999935</v>
      </c>
      <c r="G18" s="9">
        <f>-OUTPUT!I19</f>
        <v>-1325.8285595755056</v>
      </c>
      <c r="H18" s="9">
        <f>-OUTPUT!J19</f>
        <v>0</v>
      </c>
      <c r="I18" s="9">
        <f>-OUTPUT!K19</f>
        <v>0</v>
      </c>
    </row>
    <row r="19" spans="1:9">
      <c r="A19">
        <f>OUTPUT!C20</f>
        <v>17</v>
      </c>
      <c r="B19" s="9">
        <f>-OUTPUT!D20</f>
        <v>-3032.3635600000002</v>
      </c>
      <c r="C19" s="9">
        <f>-OUTPUT!E20</f>
        <v>-819.55371976237643</v>
      </c>
      <c r="D19" s="9">
        <f>-OUTPUT!F20</f>
        <v>-4542.2125999999935</v>
      </c>
      <c r="E19" s="9">
        <f>-OUTPUT!G20</f>
        <v>-1227.6190366439864</v>
      </c>
      <c r="F19" s="9">
        <f>-OUTPUT!H20</f>
        <v>-4542.2125999999935</v>
      </c>
      <c r="G19" s="9">
        <f>-OUTPUT!I20</f>
        <v>-1227.6190366439864</v>
      </c>
      <c r="H19" s="9">
        <f>-OUTPUT!J20</f>
        <v>0</v>
      </c>
      <c r="I19" s="9">
        <f>-OUTPUT!K20</f>
        <v>0</v>
      </c>
    </row>
    <row r="20" spans="1:9">
      <c r="A20">
        <f>OUTPUT!C21</f>
        <v>18</v>
      </c>
      <c r="B20" s="9">
        <f>-OUTPUT!D21</f>
        <v>-3032.3635600000002</v>
      </c>
      <c r="C20" s="9">
        <f>-OUTPUT!E21</f>
        <v>-758.84603681701515</v>
      </c>
      <c r="D20" s="9">
        <f>-OUTPUT!F21</f>
        <v>-4542.2125999999935</v>
      </c>
      <c r="E20" s="9">
        <f>-OUTPUT!G21</f>
        <v>-1136.6842931888764</v>
      </c>
      <c r="F20" s="9">
        <f>-OUTPUT!H21</f>
        <v>-4542.2125999999935</v>
      </c>
      <c r="G20" s="9">
        <f>-OUTPUT!I21</f>
        <v>-1136.6842931888764</v>
      </c>
      <c r="H20" s="9">
        <f>-OUTPUT!J21</f>
        <v>0</v>
      </c>
      <c r="I20" s="9">
        <f>-OUTPUT!K21</f>
        <v>0</v>
      </c>
    </row>
    <row r="21" spans="1:9">
      <c r="A21">
        <f>OUTPUT!C22</f>
        <v>19</v>
      </c>
      <c r="B21" s="9">
        <f>-OUTPUT!D22</f>
        <v>-3032.3635600000002</v>
      </c>
      <c r="C21" s="9">
        <f>-OUTPUT!E22</f>
        <v>-702.63521927501392</v>
      </c>
      <c r="D21" s="9">
        <f>-OUTPUT!F22</f>
        <v>-4542.2125999999935</v>
      </c>
      <c r="E21" s="9">
        <f>-OUTPUT!G22</f>
        <v>-1052.4854566563668</v>
      </c>
      <c r="F21" s="9">
        <f>-OUTPUT!H22</f>
        <v>-4542.2125999999935</v>
      </c>
      <c r="G21" s="9">
        <f>-OUTPUT!I22</f>
        <v>-1052.4854566563668</v>
      </c>
      <c r="H21" s="9">
        <f>-OUTPUT!J22</f>
        <v>0</v>
      </c>
      <c r="I21" s="9">
        <f>-OUTPUT!K22</f>
        <v>0</v>
      </c>
    </row>
    <row r="22" spans="1:9">
      <c r="A22">
        <f>OUTPUT!C23</f>
        <v>20</v>
      </c>
      <c r="B22" s="9">
        <f>-OUTPUT!D23</f>
        <v>-3032.3635600000002</v>
      </c>
      <c r="C22" s="9">
        <f>-OUTPUT!E23</f>
        <v>-650.58816599538329</v>
      </c>
      <c r="D22" s="9">
        <f>-OUTPUT!F23</f>
        <v>-4542.2125999999935</v>
      </c>
      <c r="E22" s="9">
        <f>-OUTPUT!G23</f>
        <v>-974.5235709781175</v>
      </c>
      <c r="F22" s="9">
        <f>-OUTPUT!H23</f>
        <v>-4542.2125999999935</v>
      </c>
      <c r="G22" s="9">
        <f>-OUTPUT!I23</f>
        <v>-974.5235709781175</v>
      </c>
      <c r="H22" s="9">
        <f>-OUTPUT!J23</f>
        <v>0</v>
      </c>
      <c r="I22" s="9">
        <f>-OUTPUT!K23</f>
        <v>0</v>
      </c>
    </row>
    <row r="23" spans="1:9">
      <c r="A23">
        <f>OUTPUT!C24</f>
        <v>21</v>
      </c>
      <c r="B23" s="9">
        <f>-OUTPUT!D24</f>
        <v>0</v>
      </c>
      <c r="C23" s="9">
        <f>-OUTPUT!E24</f>
        <v>0</v>
      </c>
      <c r="D23" s="9">
        <f>-OUTPUT!F24</f>
        <v>0</v>
      </c>
      <c r="E23" s="9">
        <f>-OUTPUT!G24</f>
        <v>0</v>
      </c>
      <c r="F23" s="9">
        <f>-OUTPUT!H24</f>
        <v>0</v>
      </c>
      <c r="G23" s="9">
        <f>-OUTPUT!I24</f>
        <v>0</v>
      </c>
      <c r="H23" s="9">
        <f>-OUTPUT!J24</f>
        <v>0</v>
      </c>
      <c r="I23" s="9">
        <f>-OUTPUT!K24</f>
        <v>0</v>
      </c>
    </row>
    <row r="24" spans="1:9">
      <c r="A24">
        <f>OUTPUT!C25</f>
        <v>22</v>
      </c>
      <c r="B24" s="9">
        <f>-OUTPUT!D25</f>
        <v>0</v>
      </c>
      <c r="C24" s="9">
        <f>-OUTPUT!E25</f>
        <v>0</v>
      </c>
      <c r="D24" s="9">
        <f>-OUTPUT!F25</f>
        <v>0</v>
      </c>
      <c r="E24" s="9">
        <f>-OUTPUT!G25</f>
        <v>0</v>
      </c>
      <c r="F24" s="9">
        <f>-OUTPUT!H25</f>
        <v>0</v>
      </c>
      <c r="G24" s="9">
        <f>-OUTPUT!I25</f>
        <v>0</v>
      </c>
      <c r="H24" s="9">
        <f>-OUTPUT!J25</f>
        <v>0</v>
      </c>
      <c r="I24" s="9">
        <f>-OUTPUT!K25</f>
        <v>0</v>
      </c>
    </row>
    <row r="25" spans="1:9">
      <c r="A25">
        <f>OUTPUT!C26</f>
        <v>23</v>
      </c>
      <c r="B25" s="9">
        <f>-OUTPUT!D26</f>
        <v>0</v>
      </c>
      <c r="C25" s="9">
        <f>-OUTPUT!E26</f>
        <v>0</v>
      </c>
      <c r="D25" s="9">
        <f>-OUTPUT!F26</f>
        <v>0</v>
      </c>
      <c r="E25" s="9">
        <f>-OUTPUT!G26</f>
        <v>0</v>
      </c>
      <c r="F25" s="9">
        <f>-OUTPUT!H26</f>
        <v>0</v>
      </c>
      <c r="G25" s="9">
        <f>-OUTPUT!I26</f>
        <v>0</v>
      </c>
      <c r="H25" s="9">
        <f>-OUTPUT!J26</f>
        <v>0</v>
      </c>
      <c r="I25" s="9">
        <f>-OUTPUT!K26</f>
        <v>0</v>
      </c>
    </row>
    <row r="26" spans="1:9">
      <c r="A26">
        <f>OUTPUT!C27</f>
        <v>24</v>
      </c>
      <c r="B26" s="9">
        <f>-OUTPUT!D27</f>
        <v>0</v>
      </c>
      <c r="C26" s="9">
        <f>-OUTPUT!E27</f>
        <v>0</v>
      </c>
      <c r="D26" s="9">
        <f>-OUTPUT!F27</f>
        <v>0</v>
      </c>
      <c r="E26" s="9">
        <f>-OUTPUT!G27</f>
        <v>0</v>
      </c>
      <c r="F26" s="9">
        <f>-OUTPUT!H27</f>
        <v>0</v>
      </c>
      <c r="G26" s="9">
        <f>-OUTPUT!I27</f>
        <v>0</v>
      </c>
      <c r="H26" s="9">
        <f>-OUTPUT!J27</f>
        <v>0</v>
      </c>
      <c r="I26" s="9">
        <f>-OUTPUT!K27</f>
        <v>0</v>
      </c>
    </row>
    <row r="27" spans="1:9">
      <c r="A27">
        <f>OUTPUT!C28</f>
        <v>25</v>
      </c>
      <c r="B27" s="9">
        <f>-OUTPUT!D28</f>
        <v>0</v>
      </c>
      <c r="C27" s="9">
        <f>-OUTPUT!E28</f>
        <v>0</v>
      </c>
      <c r="D27" s="9">
        <f>-OUTPUT!F28</f>
        <v>0</v>
      </c>
      <c r="E27" s="9">
        <f>-OUTPUT!G28</f>
        <v>0</v>
      </c>
      <c r="F27" s="9">
        <f>-OUTPUT!H28</f>
        <v>0</v>
      </c>
      <c r="G27" s="9">
        <f>-OUTPUT!I28</f>
        <v>0</v>
      </c>
      <c r="H27" s="9">
        <f>-OUTPUT!J28</f>
        <v>0</v>
      </c>
      <c r="I27" s="9">
        <f>-OUTPUT!K28</f>
        <v>0</v>
      </c>
    </row>
    <row r="28" spans="1:9">
      <c r="A28">
        <f>OUTPUT!C29</f>
        <v>26</v>
      </c>
      <c r="B28" s="9">
        <f>-OUTPUT!D29</f>
        <v>0</v>
      </c>
      <c r="C28" s="9">
        <f>-OUTPUT!E29</f>
        <v>0</v>
      </c>
      <c r="D28" s="9">
        <f>-OUTPUT!F29</f>
        <v>0</v>
      </c>
      <c r="E28" s="9">
        <f>-OUTPUT!G29</f>
        <v>0</v>
      </c>
      <c r="F28" s="9">
        <f>-OUTPUT!H29</f>
        <v>0</v>
      </c>
      <c r="G28" s="9">
        <f>-OUTPUT!I29</f>
        <v>0</v>
      </c>
      <c r="H28" s="9">
        <f>-OUTPUT!J29</f>
        <v>0</v>
      </c>
      <c r="I28" s="9">
        <f>-OUTPUT!K29</f>
        <v>0</v>
      </c>
    </row>
    <row r="29" spans="1:9">
      <c r="A29">
        <f>OUTPUT!C30</f>
        <v>27</v>
      </c>
      <c r="B29" s="9">
        <f>-OUTPUT!D30</f>
        <v>0</v>
      </c>
      <c r="C29" s="9">
        <f>-OUTPUT!E30</f>
        <v>0</v>
      </c>
      <c r="D29" s="9">
        <f>-OUTPUT!F30</f>
        <v>0</v>
      </c>
      <c r="E29" s="9">
        <f>-OUTPUT!G30</f>
        <v>0</v>
      </c>
      <c r="F29" s="9">
        <f>-OUTPUT!H30</f>
        <v>0</v>
      </c>
      <c r="G29" s="9">
        <f>-OUTPUT!I30</f>
        <v>0</v>
      </c>
      <c r="H29" s="9">
        <f>-OUTPUT!J30</f>
        <v>0</v>
      </c>
      <c r="I29" s="9">
        <f>-OUTPUT!K30</f>
        <v>0</v>
      </c>
    </row>
    <row r="30" spans="1:9">
      <c r="A30">
        <f>OUTPUT!C31</f>
        <v>28</v>
      </c>
      <c r="B30" s="9">
        <f>-OUTPUT!D31</f>
        <v>0</v>
      </c>
      <c r="C30" s="9">
        <f>-OUTPUT!E31</f>
        <v>0</v>
      </c>
      <c r="D30" s="9">
        <f>-OUTPUT!F31</f>
        <v>0</v>
      </c>
      <c r="E30" s="9">
        <f>-OUTPUT!G31</f>
        <v>0</v>
      </c>
      <c r="F30" s="9">
        <f>-OUTPUT!H31</f>
        <v>0</v>
      </c>
      <c r="G30" s="9">
        <f>-OUTPUT!I31</f>
        <v>0</v>
      </c>
      <c r="H30" s="9">
        <f>-OUTPUT!J31</f>
        <v>0</v>
      </c>
      <c r="I30" s="9">
        <f>-OUTPUT!K31</f>
        <v>0</v>
      </c>
    </row>
    <row r="31" spans="1:9">
      <c r="A31">
        <f>OUTPUT!C32</f>
        <v>29</v>
      </c>
      <c r="B31" s="9">
        <f>-OUTPUT!D32</f>
        <v>0</v>
      </c>
      <c r="C31" s="9">
        <f>-OUTPUT!E32</f>
        <v>0</v>
      </c>
      <c r="D31" s="9">
        <f>-OUTPUT!F32</f>
        <v>0</v>
      </c>
      <c r="E31" s="9">
        <f>-OUTPUT!G32</f>
        <v>0</v>
      </c>
      <c r="F31" s="9">
        <f>-OUTPUT!H32</f>
        <v>0</v>
      </c>
      <c r="G31" s="9">
        <f>-OUTPUT!I32</f>
        <v>0</v>
      </c>
      <c r="H31" s="9">
        <f>-OUTPUT!J32</f>
        <v>0</v>
      </c>
      <c r="I31" s="9">
        <f>-OUTPUT!K32</f>
        <v>0</v>
      </c>
    </row>
    <row r="32" spans="1:9">
      <c r="A32">
        <f>OUTPUT!C33</f>
        <v>30</v>
      </c>
      <c r="B32" s="9">
        <f>-OUTPUT!D33</f>
        <v>0</v>
      </c>
      <c r="C32" s="9">
        <f>-OUTPUT!E33</f>
        <v>0</v>
      </c>
      <c r="D32" s="9">
        <f>-OUTPUT!F33</f>
        <v>0</v>
      </c>
      <c r="E32" s="9">
        <f>-OUTPUT!G33</f>
        <v>0</v>
      </c>
      <c r="F32" s="9">
        <f>-OUTPUT!H33</f>
        <v>0</v>
      </c>
      <c r="G32" s="9">
        <f>-OUTPUT!I33</f>
        <v>0</v>
      </c>
      <c r="H32" s="9">
        <f>-OUTPUT!J33</f>
        <v>0</v>
      </c>
      <c r="I32" s="9">
        <f>-OUTPUT!K33</f>
        <v>0</v>
      </c>
    </row>
    <row r="34" spans="1:9">
      <c r="A34" t="str">
        <f>OUTPUT!C35</f>
        <v>TCO</v>
      </c>
      <c r="B34" s="91">
        <f>OUTPUT!D35</f>
        <v>0</v>
      </c>
      <c r="C34" s="91">
        <f>OUTPUT!E35</f>
        <v>56995.828025057694</v>
      </c>
      <c r="D34" s="91">
        <f>OUTPUT!F35</f>
        <v>0</v>
      </c>
      <c r="E34" s="91">
        <f>OUTPUT!G35</f>
        <v>191632.28538483102</v>
      </c>
      <c r="F34" s="91">
        <f>OUTPUT!H35</f>
        <v>0</v>
      </c>
      <c r="G34" s="91">
        <f>OUTPUT!I35</f>
        <v>88468.238862773331</v>
      </c>
      <c r="H34" s="91">
        <f>OUTPUT!J35</f>
        <v>0</v>
      </c>
      <c r="I34" s="91">
        <f>OUTPUT!K35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Input regression PV</vt:lpstr>
      <vt:lpstr>Battery cost trend</vt:lpstr>
      <vt:lpstr>INPUTS</vt:lpstr>
      <vt:lpstr>OUTPUT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2019-05-07T09:48:13Z</dcterms:created>
  <dcterms:modified xsi:type="dcterms:W3CDTF">2019-05-29T09:01:59Z</dcterms:modified>
</cp:coreProperties>
</file>