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LINKS - OneDrive/LINKS/PROGETTI/STORAGE4GRID/DSF/Economic Model/"/>
    </mc:Choice>
  </mc:AlternateContent>
  <xr:revisionPtr revIDLastSave="0" documentId="13_ncr:1_{4B0FD6A9-1D51-B449-8E6B-8705D2A4A7E6}" xr6:coauthVersionLast="43" xr6:coauthVersionMax="43" xr10:uidLastSave="{00000000-0000-0000-0000-000000000000}"/>
  <bookViews>
    <workbookView xWindow="0" yWindow="460" windowWidth="28060" windowHeight="16600" activeTab="5" xr2:uid="{09BBFBE9-CBA2-F54E-80F7-B5CB2BE337B9}"/>
  </bookViews>
  <sheets>
    <sheet name="Input regression PV" sheetId="2" r:id="rId1"/>
    <sheet name="Battery cost trend" sheetId="5" r:id="rId2"/>
    <sheet name="SCENARIO 0" sheetId="6" r:id="rId3"/>
    <sheet name="SCENARIO 1" sheetId="7" r:id="rId4"/>
    <sheet name="SCENARIO 2" sheetId="8" r:id="rId5"/>
    <sheet name="SCENARIO 3" sheetId="10" r:id="rId6"/>
    <sheet name="COMPARISON 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0" l="1"/>
  <c r="J25" i="10"/>
  <c r="J26" i="10"/>
  <c r="J27" i="10"/>
  <c r="J28" i="10"/>
  <c r="J29" i="10"/>
  <c r="J30" i="10"/>
  <c r="J31" i="10"/>
  <c r="J32" i="10"/>
  <c r="J33" i="10"/>
  <c r="D25" i="10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" i="7"/>
  <c r="D5" i="9"/>
  <c r="D24" i="10"/>
  <c r="D20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" i="6"/>
  <c r="D21" i="8"/>
  <c r="D21" i="7"/>
  <c r="D20" i="8"/>
  <c r="D9" i="8"/>
  <c r="D9" i="7"/>
  <c r="D19" i="8"/>
  <c r="D13" i="6" l="1"/>
  <c r="K3" i="6" l="1"/>
  <c r="H3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6"/>
  <c r="D13" i="7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B22" i="10" l="1"/>
  <c r="B21" i="10"/>
  <c r="B16" i="10"/>
  <c r="B15" i="10"/>
  <c r="B13" i="10"/>
  <c r="B12" i="10"/>
  <c r="D19" i="10"/>
  <c r="D11" i="10"/>
  <c r="D10" i="10"/>
  <c r="D7" i="10"/>
  <c r="D5" i="10"/>
  <c r="D6" i="10" s="1"/>
  <c r="D3" i="10"/>
  <c r="B2" i="10"/>
  <c r="G4" i="10" s="1"/>
  <c r="J4" i="10" l="1"/>
  <c r="K4" i="10" s="1"/>
  <c r="J8" i="10"/>
  <c r="J12" i="10"/>
  <c r="J16" i="10"/>
  <c r="J20" i="10"/>
  <c r="J6" i="10"/>
  <c r="J14" i="10"/>
  <c r="J22" i="10"/>
  <c r="J3" i="10"/>
  <c r="J11" i="10"/>
  <c r="J23" i="10"/>
  <c r="J5" i="10"/>
  <c r="J9" i="10"/>
  <c r="J13" i="10"/>
  <c r="J17" i="10"/>
  <c r="J21" i="10"/>
  <c r="J10" i="10"/>
  <c r="J18" i="10"/>
  <c r="J7" i="10"/>
  <c r="J15" i="10"/>
  <c r="J19" i="10"/>
  <c r="D14" i="10"/>
  <c r="D13" i="8"/>
  <c r="H4" i="10"/>
  <c r="G5" i="10"/>
  <c r="D18" i="10" l="1"/>
  <c r="D17" i="10"/>
  <c r="H3" i="10" s="1"/>
  <c r="I3" i="10" s="1"/>
  <c r="H5" i="10"/>
  <c r="K5" i="10"/>
  <c r="I4" i="10"/>
  <c r="G6" i="10"/>
  <c r="D16" i="8"/>
  <c r="D15" i="8"/>
  <c r="D11" i="8"/>
  <c r="D10" i="8"/>
  <c r="D7" i="8"/>
  <c r="D5" i="8"/>
  <c r="D6" i="8" s="1"/>
  <c r="D3" i="8"/>
  <c r="B2" i="8"/>
  <c r="G4" i="8" s="1"/>
  <c r="D3" i="7"/>
  <c r="D15" i="7"/>
  <c r="D16" i="7"/>
  <c r="D11" i="7"/>
  <c r="D7" i="7"/>
  <c r="B2" i="7"/>
  <c r="G4" i="7" s="1"/>
  <c r="G5" i="7" s="1"/>
  <c r="D10" i="7"/>
  <c r="D10" i="6"/>
  <c r="D5" i="7"/>
  <c r="D6" i="7" s="1"/>
  <c r="G4" i="6"/>
  <c r="G5" i="6" s="1"/>
  <c r="D5" i="6"/>
  <c r="I3" i="6" s="1"/>
  <c r="D4" i="6"/>
  <c r="K3" i="10" l="1"/>
  <c r="K3" i="7"/>
  <c r="K6" i="10"/>
  <c r="H6" i="10"/>
  <c r="H4" i="8"/>
  <c r="J4" i="8" s="1"/>
  <c r="H3" i="8"/>
  <c r="J3" i="8" s="1"/>
  <c r="I5" i="10"/>
  <c r="G7" i="10"/>
  <c r="G5" i="8"/>
  <c r="H5" i="8" s="1"/>
  <c r="J5" i="8" s="1"/>
  <c r="D6" i="6"/>
  <c r="G6" i="7"/>
  <c r="H5" i="7"/>
  <c r="H3" i="7"/>
  <c r="I3" i="7" s="1"/>
  <c r="H4" i="7"/>
  <c r="G6" i="6"/>
  <c r="I3" i="8" l="1"/>
  <c r="K3" i="8"/>
  <c r="K7" i="10"/>
  <c r="H7" i="10"/>
  <c r="G8" i="10"/>
  <c r="I6" i="10"/>
  <c r="I4" i="8"/>
  <c r="K4" i="8"/>
  <c r="G6" i="8"/>
  <c r="H6" i="8" s="1"/>
  <c r="J6" i="8" s="1"/>
  <c r="K4" i="6"/>
  <c r="G7" i="6"/>
  <c r="K7" i="6" s="1"/>
  <c r="K5" i="7"/>
  <c r="I5" i="7"/>
  <c r="I4" i="7"/>
  <c r="K4" i="7"/>
  <c r="G7" i="7"/>
  <c r="H6" i="7"/>
  <c r="K5" i="6"/>
  <c r="I5" i="6"/>
  <c r="I4" i="6"/>
  <c r="I6" i="6"/>
  <c r="K6" i="6"/>
  <c r="H8" i="10" l="1"/>
  <c r="K8" i="10"/>
  <c r="I7" i="10"/>
  <c r="G9" i="10"/>
  <c r="I5" i="8"/>
  <c r="K5" i="8"/>
  <c r="G7" i="8"/>
  <c r="H7" i="8" s="1"/>
  <c r="J7" i="8" s="1"/>
  <c r="G8" i="6"/>
  <c r="K8" i="6" s="1"/>
  <c r="I7" i="6"/>
  <c r="I6" i="7"/>
  <c r="K6" i="7"/>
  <c r="G8" i="7"/>
  <c r="H7" i="7"/>
  <c r="G9" i="6"/>
  <c r="H9" i="10" l="1"/>
  <c r="K9" i="10"/>
  <c r="I8" i="10"/>
  <c r="G10" i="10"/>
  <c r="I6" i="8"/>
  <c r="K6" i="8"/>
  <c r="G8" i="8"/>
  <c r="H8" i="8" s="1"/>
  <c r="J8" i="8" s="1"/>
  <c r="I8" i="6"/>
  <c r="H8" i="7"/>
  <c r="G9" i="7"/>
  <c r="I7" i="7"/>
  <c r="K7" i="7"/>
  <c r="I9" i="6"/>
  <c r="K9" i="6"/>
  <c r="G10" i="6"/>
  <c r="H10" i="10" l="1"/>
  <c r="K10" i="10"/>
  <c r="I9" i="10"/>
  <c r="G11" i="10"/>
  <c r="I7" i="8"/>
  <c r="K7" i="8"/>
  <c r="G9" i="8"/>
  <c r="H9" i="8" s="1"/>
  <c r="J9" i="8" s="1"/>
  <c r="G10" i="7"/>
  <c r="H9" i="7"/>
  <c r="K8" i="7"/>
  <c r="I8" i="7"/>
  <c r="K10" i="6"/>
  <c r="I10" i="6"/>
  <c r="G11" i="6"/>
  <c r="K11" i="10" l="1"/>
  <c r="H11" i="10"/>
  <c r="I10" i="10"/>
  <c r="G12" i="10"/>
  <c r="I8" i="8"/>
  <c r="K8" i="8"/>
  <c r="G10" i="8"/>
  <c r="H10" i="8" s="1"/>
  <c r="J10" i="8" s="1"/>
  <c r="K9" i="7"/>
  <c r="I9" i="7"/>
  <c r="G11" i="7"/>
  <c r="H10" i="7"/>
  <c r="K11" i="6"/>
  <c r="I11" i="6"/>
  <c r="G12" i="6"/>
  <c r="K12" i="10" l="1"/>
  <c r="H12" i="10"/>
  <c r="I11" i="10"/>
  <c r="G13" i="10"/>
  <c r="I9" i="8"/>
  <c r="K9" i="8"/>
  <c r="G11" i="8"/>
  <c r="H11" i="8" s="1"/>
  <c r="J11" i="8" s="1"/>
  <c r="I10" i="7"/>
  <c r="K10" i="7"/>
  <c r="H11" i="7"/>
  <c r="G12" i="7"/>
  <c r="K12" i="6"/>
  <c r="I12" i="6"/>
  <c r="G13" i="6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8" i="2"/>
  <c r="H13" i="10" l="1"/>
  <c r="K13" i="10"/>
  <c r="G14" i="10"/>
  <c r="I12" i="10"/>
  <c r="I10" i="8"/>
  <c r="K10" i="8"/>
  <c r="G12" i="8"/>
  <c r="H12" i="8" s="1"/>
  <c r="J12" i="8" s="1"/>
  <c r="G13" i="7"/>
  <c r="H12" i="7"/>
  <c r="K11" i="7"/>
  <c r="I11" i="7"/>
  <c r="I13" i="6"/>
  <c r="K13" i="6"/>
  <c r="G14" i="6"/>
  <c r="K14" i="10" l="1"/>
  <c r="H14" i="10"/>
  <c r="I13" i="10"/>
  <c r="G15" i="10"/>
  <c r="I11" i="8"/>
  <c r="K11" i="8"/>
  <c r="G13" i="8"/>
  <c r="H13" i="8" s="1"/>
  <c r="J13" i="8" s="1"/>
  <c r="I12" i="7"/>
  <c r="K12" i="7"/>
  <c r="G14" i="7"/>
  <c r="H13" i="7"/>
  <c r="I14" i="6"/>
  <c r="K14" i="6"/>
  <c r="G15" i="6"/>
  <c r="F16" i="5"/>
  <c r="C21" i="5"/>
  <c r="D21" i="5" s="1"/>
  <c r="A16" i="5"/>
  <c r="B16" i="5" s="1"/>
  <c r="B4" i="5" s="1"/>
  <c r="B5" i="5" s="1"/>
  <c r="B6" i="5" s="1"/>
  <c r="B7" i="5" s="1"/>
  <c r="B8" i="5" s="1"/>
  <c r="B9" i="5" s="1"/>
  <c r="B10" i="5" s="1"/>
  <c r="B11" i="5" s="1"/>
  <c r="B12" i="5" s="1"/>
  <c r="H15" i="10" l="1"/>
  <c r="K15" i="10"/>
  <c r="I14" i="10"/>
  <c r="G16" i="10"/>
  <c r="I12" i="8"/>
  <c r="K12" i="8"/>
  <c r="G14" i="8"/>
  <c r="H14" i="8" s="1"/>
  <c r="J14" i="8" s="1"/>
  <c r="K13" i="7"/>
  <c r="I13" i="7"/>
  <c r="G15" i="7"/>
  <c r="H14" i="7"/>
  <c r="I15" i="6"/>
  <c r="K15" i="6"/>
  <c r="G16" i="6"/>
  <c r="D5" i="5"/>
  <c r="D6" i="5" s="1"/>
  <c r="D7" i="5" s="1"/>
  <c r="D3" i="5"/>
  <c r="B28" i="5"/>
  <c r="F4" i="5"/>
  <c r="F5" i="5" s="1"/>
  <c r="F6" i="5" s="1"/>
  <c r="F7" i="5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K16" i="10" l="1"/>
  <c r="H16" i="10"/>
  <c r="G17" i="10"/>
  <c r="I15" i="10"/>
  <c r="I13" i="8"/>
  <c r="K13" i="8"/>
  <c r="G15" i="8"/>
  <c r="H15" i="8" s="1"/>
  <c r="J15" i="8" s="1"/>
  <c r="G16" i="7"/>
  <c r="H15" i="7"/>
  <c r="K14" i="7"/>
  <c r="I14" i="7"/>
  <c r="I16" i="6"/>
  <c r="K16" i="6"/>
  <c r="G17" i="6"/>
  <c r="D9" i="5"/>
  <c r="D10" i="5" s="1"/>
  <c r="D11" i="5" s="1"/>
  <c r="D12" i="5" s="1"/>
  <c r="D13" i="5" s="1"/>
  <c r="D14" i="5" s="1"/>
  <c r="D15" i="5" s="1"/>
  <c r="D16" i="5" s="1"/>
  <c r="D17" i="5" s="1"/>
  <c r="D18" i="5" s="1"/>
  <c r="D8" i="5"/>
  <c r="F5" i="2"/>
  <c r="F4" i="2"/>
  <c r="F3" i="2"/>
  <c r="H17" i="10" l="1"/>
  <c r="K17" i="10"/>
  <c r="I16" i="10"/>
  <c r="G18" i="10"/>
  <c r="I14" i="8"/>
  <c r="K14" i="8"/>
  <c r="G16" i="8"/>
  <c r="H16" i="8" s="1"/>
  <c r="J16" i="8" s="1"/>
  <c r="I15" i="7"/>
  <c r="K15" i="7"/>
  <c r="G17" i="7"/>
  <c r="H16" i="7"/>
  <c r="I17" i="6"/>
  <c r="K17" i="6"/>
  <c r="G18" i="6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22" i="2"/>
  <c r="E30" i="2"/>
  <c r="E38" i="2"/>
  <c r="E50" i="2"/>
  <c r="E62" i="2"/>
  <c r="E66" i="2"/>
  <c r="E82" i="2"/>
  <c r="E90" i="2"/>
  <c r="E98" i="2"/>
  <c r="E106" i="2"/>
  <c r="E114" i="2"/>
  <c r="E126" i="2"/>
  <c r="E134" i="2"/>
  <c r="E142" i="2"/>
  <c r="E146" i="2"/>
  <c r="E162" i="2"/>
  <c r="E166" i="2"/>
  <c r="E109" i="2"/>
  <c r="E113" i="2"/>
  <c r="E125" i="2"/>
  <c r="E133" i="2"/>
  <c r="E141" i="2"/>
  <c r="E149" i="2"/>
  <c r="E153" i="2"/>
  <c r="E161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8" i="2"/>
  <c r="E26" i="2"/>
  <c r="E34" i="2"/>
  <c r="E42" i="2"/>
  <c r="E46" i="2"/>
  <c r="E54" i="2"/>
  <c r="E58" i="2"/>
  <c r="E70" i="2"/>
  <c r="E74" i="2"/>
  <c r="E78" i="2"/>
  <c r="E86" i="2"/>
  <c r="E94" i="2"/>
  <c r="E102" i="2"/>
  <c r="E110" i="2"/>
  <c r="E118" i="2"/>
  <c r="E122" i="2"/>
  <c r="E130" i="2"/>
  <c r="E138" i="2"/>
  <c r="E150" i="2"/>
  <c r="E154" i="2"/>
  <c r="E158" i="2"/>
  <c r="E117" i="2"/>
  <c r="E121" i="2"/>
  <c r="E129" i="2"/>
  <c r="E137" i="2"/>
  <c r="E145" i="2"/>
  <c r="E157" i="2"/>
  <c r="E165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K18" i="10" l="1"/>
  <c r="H18" i="10"/>
  <c r="G19" i="10"/>
  <c r="I17" i="10"/>
  <c r="I15" i="8"/>
  <c r="K15" i="8"/>
  <c r="G17" i="8"/>
  <c r="H17" i="8" s="1"/>
  <c r="J17" i="8" s="1"/>
  <c r="K16" i="7"/>
  <c r="I16" i="7"/>
  <c r="H17" i="7"/>
  <c r="G18" i="7"/>
  <c r="K18" i="6"/>
  <c r="I18" i="6"/>
  <c r="G19" i="6"/>
  <c r="K19" i="10" l="1"/>
  <c r="H19" i="10"/>
  <c r="I18" i="10"/>
  <c r="G20" i="10"/>
  <c r="I16" i="8"/>
  <c r="K16" i="8"/>
  <c r="G18" i="8"/>
  <c r="H18" i="8" s="1"/>
  <c r="J18" i="8" s="1"/>
  <c r="G19" i="7"/>
  <c r="H18" i="7"/>
  <c r="K17" i="7"/>
  <c r="I17" i="7"/>
  <c r="I19" i="6"/>
  <c r="K19" i="6"/>
  <c r="G20" i="6"/>
  <c r="K20" i="10" l="1"/>
  <c r="H20" i="10"/>
  <c r="G21" i="10"/>
  <c r="I19" i="10"/>
  <c r="I17" i="8"/>
  <c r="K17" i="8"/>
  <c r="G19" i="8"/>
  <c r="H19" i="8" s="1"/>
  <c r="J19" i="8" s="1"/>
  <c r="K18" i="7"/>
  <c r="I18" i="7"/>
  <c r="G20" i="7"/>
  <c r="H19" i="7"/>
  <c r="K20" i="6"/>
  <c r="I20" i="6"/>
  <c r="G21" i="6"/>
  <c r="H21" i="10" l="1"/>
  <c r="K21" i="10"/>
  <c r="I20" i="10"/>
  <c r="G22" i="10"/>
  <c r="I18" i="8"/>
  <c r="K18" i="8"/>
  <c r="G20" i="8"/>
  <c r="H20" i="8" s="1"/>
  <c r="J20" i="8" s="1"/>
  <c r="I19" i="7"/>
  <c r="K19" i="7"/>
  <c r="G21" i="7"/>
  <c r="H20" i="7"/>
  <c r="I21" i="6"/>
  <c r="K21" i="6"/>
  <c r="G22" i="6"/>
  <c r="H22" i="10" l="1"/>
  <c r="K22" i="10"/>
  <c r="I21" i="10"/>
  <c r="G23" i="10"/>
  <c r="I19" i="8"/>
  <c r="K19" i="8"/>
  <c r="G21" i="8"/>
  <c r="H21" i="8" s="1"/>
  <c r="J21" i="8" s="1"/>
  <c r="I20" i="7"/>
  <c r="K20" i="7"/>
  <c r="G22" i="7"/>
  <c r="H21" i="7"/>
  <c r="I22" i="6"/>
  <c r="K22" i="6"/>
  <c r="G23" i="6"/>
  <c r="K23" i="10" l="1"/>
  <c r="H23" i="10"/>
  <c r="I22" i="10"/>
  <c r="G24" i="10"/>
  <c r="I20" i="8"/>
  <c r="K20" i="8"/>
  <c r="G22" i="8"/>
  <c r="H22" i="8" s="1"/>
  <c r="J22" i="8" s="1"/>
  <c r="K21" i="7"/>
  <c r="I21" i="7"/>
  <c r="G23" i="7"/>
  <c r="H22" i="7"/>
  <c r="I23" i="6"/>
  <c r="K23" i="6"/>
  <c r="G24" i="6"/>
  <c r="K24" i="10" l="1"/>
  <c r="H24" i="10"/>
  <c r="I23" i="10"/>
  <c r="G25" i="10"/>
  <c r="I21" i="8"/>
  <c r="K21" i="8"/>
  <c r="G23" i="8"/>
  <c r="H23" i="8" s="1"/>
  <c r="J23" i="8" s="1"/>
  <c r="K22" i="7"/>
  <c r="I22" i="7"/>
  <c r="G24" i="7"/>
  <c r="H23" i="7"/>
  <c r="I24" i="6"/>
  <c r="K24" i="6"/>
  <c r="G25" i="6"/>
  <c r="H25" i="10" l="1"/>
  <c r="K25" i="10"/>
  <c r="I24" i="10"/>
  <c r="G26" i="10"/>
  <c r="I22" i="8"/>
  <c r="K22" i="8"/>
  <c r="G24" i="8"/>
  <c r="H24" i="8" s="1"/>
  <c r="J24" i="8" s="1"/>
  <c r="G25" i="7"/>
  <c r="H24" i="7"/>
  <c r="I23" i="7"/>
  <c r="K23" i="7"/>
  <c r="K25" i="6"/>
  <c r="I25" i="6"/>
  <c r="G26" i="6"/>
  <c r="H26" i="10" l="1"/>
  <c r="K26" i="10"/>
  <c r="I25" i="10"/>
  <c r="G27" i="10"/>
  <c r="I23" i="8"/>
  <c r="K23" i="8"/>
  <c r="G25" i="8"/>
  <c r="H25" i="8" s="1"/>
  <c r="J25" i="8" s="1"/>
  <c r="I24" i="7"/>
  <c r="K24" i="7"/>
  <c r="G26" i="7"/>
  <c r="H25" i="7"/>
  <c r="K26" i="6"/>
  <c r="I26" i="6"/>
  <c r="G27" i="6"/>
  <c r="H27" i="10" l="1"/>
  <c r="K27" i="10"/>
  <c r="G28" i="10"/>
  <c r="I26" i="10"/>
  <c r="I24" i="8"/>
  <c r="K24" i="8"/>
  <c r="G26" i="8"/>
  <c r="H26" i="8" s="1"/>
  <c r="J26" i="8" s="1"/>
  <c r="K25" i="7"/>
  <c r="I25" i="7"/>
  <c r="G27" i="7"/>
  <c r="H26" i="7"/>
  <c r="K27" i="6"/>
  <c r="I27" i="6"/>
  <c r="G28" i="6"/>
  <c r="K28" i="10" l="1"/>
  <c r="H28" i="10"/>
  <c r="I27" i="10"/>
  <c r="G29" i="10"/>
  <c r="I25" i="8"/>
  <c r="K25" i="8"/>
  <c r="G27" i="8"/>
  <c r="H27" i="8" s="1"/>
  <c r="J27" i="8" s="1"/>
  <c r="K26" i="7"/>
  <c r="I26" i="7"/>
  <c r="G28" i="7"/>
  <c r="H27" i="7"/>
  <c r="K28" i="6"/>
  <c r="I28" i="6"/>
  <c r="G29" i="6"/>
  <c r="H29" i="10" l="1"/>
  <c r="K29" i="10"/>
  <c r="G30" i="10"/>
  <c r="I28" i="10"/>
  <c r="I26" i="8"/>
  <c r="K26" i="8"/>
  <c r="G28" i="8"/>
  <c r="H28" i="8" s="1"/>
  <c r="J28" i="8" s="1"/>
  <c r="I27" i="7"/>
  <c r="K27" i="7"/>
  <c r="G29" i="7"/>
  <c r="H28" i="7"/>
  <c r="I29" i="6"/>
  <c r="K29" i="6"/>
  <c r="G30" i="6"/>
  <c r="H30" i="10" l="1"/>
  <c r="K30" i="10"/>
  <c r="I29" i="10"/>
  <c r="G31" i="10"/>
  <c r="I27" i="8"/>
  <c r="K27" i="8"/>
  <c r="G29" i="8"/>
  <c r="H29" i="8" s="1"/>
  <c r="J29" i="8" s="1"/>
  <c r="K28" i="7"/>
  <c r="I28" i="7"/>
  <c r="G30" i="7"/>
  <c r="H29" i="7"/>
  <c r="I30" i="6"/>
  <c r="K30" i="6"/>
  <c r="G31" i="6"/>
  <c r="K31" i="10" l="1"/>
  <c r="H31" i="10"/>
  <c r="I30" i="10"/>
  <c r="G32" i="10"/>
  <c r="I28" i="8"/>
  <c r="K28" i="8"/>
  <c r="G30" i="8"/>
  <c r="H30" i="8" s="1"/>
  <c r="J30" i="8" s="1"/>
  <c r="K29" i="7"/>
  <c r="I29" i="7"/>
  <c r="G31" i="7"/>
  <c r="H30" i="7"/>
  <c r="I31" i="6"/>
  <c r="K31" i="6"/>
  <c r="G32" i="6"/>
  <c r="K32" i="10" l="1"/>
  <c r="H32" i="10"/>
  <c r="I31" i="10"/>
  <c r="G33" i="10"/>
  <c r="I29" i="8"/>
  <c r="K29" i="8"/>
  <c r="G31" i="8"/>
  <c r="H31" i="8" s="1"/>
  <c r="J31" i="8" s="1"/>
  <c r="K30" i="7"/>
  <c r="I30" i="7"/>
  <c r="G32" i="7"/>
  <c r="H31" i="7"/>
  <c r="I32" i="6"/>
  <c r="K32" i="6"/>
  <c r="G33" i="6"/>
  <c r="H33" i="10" l="1"/>
  <c r="I33" i="10" s="1"/>
  <c r="K33" i="10"/>
  <c r="I32" i="10"/>
  <c r="I30" i="8"/>
  <c r="K30" i="8"/>
  <c r="G32" i="8"/>
  <c r="H32" i="8" s="1"/>
  <c r="J32" i="8" s="1"/>
  <c r="I31" i="7"/>
  <c r="K31" i="7"/>
  <c r="G33" i="7"/>
  <c r="H32" i="7"/>
  <c r="I33" i="6"/>
  <c r="D15" i="6" s="1"/>
  <c r="K33" i="6"/>
  <c r="D16" i="6" s="1"/>
  <c r="B2" i="9" l="1"/>
  <c r="B4" i="9"/>
  <c r="B3" i="9" s="1"/>
  <c r="D26" i="10"/>
  <c r="E2" i="9" s="1"/>
  <c r="D27" i="10"/>
  <c r="I31" i="8"/>
  <c r="K31" i="8"/>
  <c r="G33" i="8"/>
  <c r="H33" i="8" s="1"/>
  <c r="J33" i="8" s="1"/>
  <c r="H33" i="7"/>
  <c r="I33" i="7" s="1"/>
  <c r="K33" i="7"/>
  <c r="K32" i="7"/>
  <c r="I32" i="7"/>
  <c r="E4" i="9" l="1"/>
  <c r="E3" i="9" s="1"/>
  <c r="E5" i="9" s="1"/>
  <c r="I32" i="8"/>
  <c r="K32" i="8"/>
  <c r="D23" i="7"/>
  <c r="D22" i="7"/>
  <c r="C2" i="9" s="1"/>
  <c r="C4" i="9" l="1"/>
  <c r="C3" i="9" s="1"/>
  <c r="C5" i="9" s="1"/>
  <c r="I33" i="8"/>
  <c r="D22" i="8" s="1"/>
  <c r="K33" i="8"/>
  <c r="D23" i="8" s="1"/>
  <c r="D4" i="9" l="1"/>
  <c r="D2" i="9"/>
  <c r="D3" i="9" l="1"/>
</calcChain>
</file>

<file path=xl/sharedStrings.xml><?xml version="1.0" encoding="utf-8"?>
<sst xmlns="http://schemas.openxmlformats.org/spreadsheetml/2006/main" count="224" uniqueCount="68">
  <si>
    <t>PV penetration</t>
  </si>
  <si>
    <t>kWp</t>
  </si>
  <si>
    <t>Value</t>
  </si>
  <si>
    <t>Initial Table</t>
  </si>
  <si>
    <t>Regression parameter</t>
  </si>
  <si>
    <t>G.S. cost</t>
  </si>
  <si>
    <t>Coefficient</t>
  </si>
  <si>
    <t>a0</t>
  </si>
  <si>
    <t>a1</t>
  </si>
  <si>
    <t>a2</t>
  </si>
  <si>
    <t>Regression values</t>
  </si>
  <si>
    <t>G.S. cost for PV</t>
  </si>
  <si>
    <t>G.S. cost for Equivalent PV</t>
  </si>
  <si>
    <t>Time</t>
  </si>
  <si>
    <t>Year</t>
  </si>
  <si>
    <t>$</t>
  </si>
  <si>
    <t>Rate of discount</t>
  </si>
  <si>
    <t>Yearly rate</t>
  </si>
  <si>
    <t>Source: ICF 2017</t>
  </si>
  <si>
    <t>Source: BSW 2017</t>
  </si>
  <si>
    <t>Source: REA 2016</t>
  </si>
  <si>
    <t>Losses</t>
  </si>
  <si>
    <t>PV penetration (kWp)</t>
  </si>
  <si>
    <t>a3</t>
  </si>
  <si>
    <t>a4</t>
  </si>
  <si>
    <t>DSO</t>
  </si>
  <si>
    <t>INPUT from DSF-SE or Proferssional GUI</t>
  </si>
  <si>
    <t>Unit of measure</t>
  </si>
  <si>
    <t>%</t>
  </si>
  <si>
    <t>INPUTS from LINKS or DSF-EE</t>
  </si>
  <si>
    <t>T</t>
  </si>
  <si>
    <t>Years</t>
  </si>
  <si>
    <t>r</t>
  </si>
  <si>
    <t>EUR</t>
  </si>
  <si>
    <t>kWh</t>
  </si>
  <si>
    <t>EUR/kWh</t>
  </si>
  <si>
    <t>Percentage of shared PwLoss</t>
  </si>
  <si>
    <t>CF</t>
  </si>
  <si>
    <t>PV</t>
  </si>
  <si>
    <t>TCO (DSO)</t>
  </si>
  <si>
    <t>TCO (Prosumer)</t>
  </si>
  <si>
    <t>Prosumer</t>
  </si>
  <si>
    <t>Equivalent PV penetration (kWp)</t>
  </si>
  <si>
    <t>#</t>
  </si>
  <si>
    <t>TCO (Community)</t>
  </si>
  <si>
    <t>SCENARIO 0 
(Grid Strengthening)</t>
  </si>
  <si>
    <t>SCENARIO 1
(Decentralized Storage at household level)</t>
  </si>
  <si>
    <t>SCENARIO 2
(Centralized Storage at sub-station level)</t>
  </si>
  <si>
    <t>SCENARIO 3
(Both centralized and decentralized storage)</t>
  </si>
  <si>
    <t xml:space="preserve">         Scenario 2</t>
  </si>
  <si>
    <t xml:space="preserve">               Scenario 2</t>
  </si>
  <si>
    <t xml:space="preserve">               Scenario 1</t>
  </si>
  <si>
    <t xml:space="preserve">                 Scenario 2</t>
  </si>
  <si>
    <t xml:space="preserve">                 Scenario 1</t>
  </si>
  <si>
    <t xml:space="preserve">                        Scenario 2</t>
  </si>
  <si>
    <t xml:space="preserve">                        Scenario 1</t>
  </si>
  <si>
    <t>Simulated data (LINKS)</t>
  </si>
  <si>
    <t>Simulated data (LINKS) EURO</t>
  </si>
  <si>
    <t>Simulated data (LINKS) $</t>
  </si>
  <si>
    <t>Prudent average rate for decreasing  battery price</t>
  </si>
  <si>
    <t>Energy consumption</t>
  </si>
  <si>
    <t>EUR/year</t>
  </si>
  <si>
    <t>kWh/year</t>
  </si>
  <si>
    <t>Energy consumption costs</t>
  </si>
  <si>
    <t>Number of households</t>
  </si>
  <si>
    <t>TCO (Prosumers - aggregate)</t>
  </si>
  <si>
    <t>Aggregate Incentive for consumers</t>
  </si>
  <si>
    <t xml:space="preserve">         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</si>
</sst>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_-* #,##0.0000\ _€_-;\-* #,##0.0000\ _€_-;_-* &quot;-&quot;??\ _€_-;_-@_-"/>
    <numFmt numFmtId="168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 applyAlignment="1">
      <alignment horizontal="left" indent="1"/>
    </xf>
    <xf numFmtId="0" fontId="3" fillId="4" borderId="0" xfId="0" applyFont="1" applyFill="1"/>
    <xf numFmtId="165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0" borderId="0" xfId="0" applyNumberForma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0" fontId="3" fillId="9" borderId="0" xfId="0" applyFont="1" applyFill="1" applyAlignment="1">
      <alignment horizontal="center"/>
    </xf>
    <xf numFmtId="0" fontId="0" fillId="9" borderId="0" xfId="0" applyFill="1"/>
    <xf numFmtId="10" fontId="3" fillId="7" borderId="0" xfId="2" applyNumberFormat="1" applyFont="1" applyFill="1"/>
    <xf numFmtId="10" fontId="3" fillId="9" borderId="0" xfId="2" applyNumberFormat="1" applyFont="1" applyFill="1"/>
    <xf numFmtId="10" fontId="3" fillId="8" borderId="0" xfId="2" applyNumberFormat="1" applyFont="1" applyFill="1"/>
    <xf numFmtId="0" fontId="2" fillId="9" borderId="0" xfId="0" applyFont="1" applyFill="1"/>
    <xf numFmtId="165" fontId="0" fillId="7" borderId="0" xfId="1" applyNumberFormat="1" applyFont="1" applyFill="1"/>
    <xf numFmtId="165" fontId="2" fillId="9" borderId="0" xfId="1" applyNumberFormat="1" applyFont="1" applyFill="1"/>
    <xf numFmtId="165" fontId="0" fillId="9" borderId="0" xfId="1" applyNumberFormat="1" applyFont="1" applyFill="1"/>
    <xf numFmtId="10" fontId="0" fillId="7" borderId="0" xfId="2" applyNumberFormat="1" applyFont="1" applyFill="1"/>
    <xf numFmtId="10" fontId="0" fillId="9" borderId="0" xfId="2" applyNumberFormat="1" applyFont="1" applyFill="1"/>
    <xf numFmtId="165" fontId="0" fillId="8" borderId="0" xfId="1" applyNumberFormat="1" applyFont="1" applyFill="1"/>
    <xf numFmtId="10" fontId="0" fillId="0" borderId="0" xfId="2" applyNumberFormat="1" applyFont="1"/>
    <xf numFmtId="9" fontId="0" fillId="0" borderId="0" xfId="0" applyNumberFormat="1"/>
    <xf numFmtId="165" fontId="0" fillId="3" borderId="0" xfId="1" applyNumberFormat="1" applyFon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167" fontId="0" fillId="3" borderId="0" xfId="1" applyNumberFormat="1" applyFont="1" applyFill="1" applyAlignment="1">
      <alignment horizontal="right"/>
    </xf>
    <xf numFmtId="0" fontId="0" fillId="0" borderId="0" xfId="0" applyBorder="1"/>
    <xf numFmtId="0" fontId="0" fillId="0" borderId="0" xfId="0" applyFill="1"/>
    <xf numFmtId="0" fontId="0" fillId="11" borderId="0" xfId="0" applyFill="1"/>
    <xf numFmtId="165" fontId="0" fillId="11" borderId="0" xfId="1" applyNumberFormat="1" applyFont="1" applyFill="1"/>
    <xf numFmtId="0" fontId="0" fillId="0" borderId="0" xfId="0" applyAlignment="1">
      <alignment vertical="top"/>
    </xf>
    <xf numFmtId="0" fontId="3" fillId="0" borderId="0" xfId="0" applyFont="1" applyFill="1"/>
    <xf numFmtId="9" fontId="0" fillId="0" borderId="0" xfId="2" applyFont="1" applyFill="1"/>
    <xf numFmtId="165" fontId="0" fillId="0" borderId="0" xfId="1" applyNumberFormat="1" applyFont="1" applyFill="1"/>
    <xf numFmtId="0" fontId="0" fillId="4" borderId="0" xfId="0" applyFont="1" applyFill="1"/>
    <xf numFmtId="0" fontId="0" fillId="4" borderId="0" xfId="0" applyFill="1"/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5" fontId="0" fillId="7" borderId="0" xfId="1" applyNumberFormat="1" applyFont="1" applyFill="1" applyBorder="1"/>
    <xf numFmtId="165" fontId="0" fillId="7" borderId="6" xfId="0" applyNumberFormat="1" applyFill="1" applyBorder="1"/>
    <xf numFmtId="165" fontId="0" fillId="7" borderId="8" xfId="0" applyNumberFormat="1" applyFill="1" applyBorder="1"/>
    <xf numFmtId="0" fontId="3" fillId="2" borderId="6" xfId="0" applyFont="1" applyFill="1" applyBorder="1" applyAlignment="1">
      <alignment horizontal="center"/>
    </xf>
    <xf numFmtId="165" fontId="0" fillId="2" borderId="6" xfId="0" applyNumberFormat="1" applyFill="1" applyBorder="1"/>
    <xf numFmtId="165" fontId="0" fillId="2" borderId="8" xfId="0" applyNumberFormat="1" applyFill="1" applyBorder="1"/>
    <xf numFmtId="0" fontId="0" fillId="0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3" fillId="2" borderId="10" xfId="0" applyFont="1" applyFill="1" applyBorder="1" applyAlignment="1">
      <alignment horizontal="center"/>
    </xf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0" fontId="3" fillId="5" borderId="0" xfId="0" applyFont="1" applyFill="1"/>
    <xf numFmtId="0" fontId="0" fillId="5" borderId="0" xfId="0" applyFont="1" applyFill="1"/>
    <xf numFmtId="0" fontId="0" fillId="5" borderId="0" xfId="0" applyFill="1"/>
    <xf numFmtId="9" fontId="0" fillId="5" borderId="0" xfId="2" applyFont="1" applyFill="1"/>
    <xf numFmtId="0" fontId="3" fillId="6" borderId="0" xfId="0" applyFont="1" applyFill="1"/>
    <xf numFmtId="0" fontId="0" fillId="6" borderId="0" xfId="0" applyFont="1" applyFill="1"/>
    <xf numFmtId="0" fontId="0" fillId="6" borderId="0" xfId="0" applyFill="1"/>
    <xf numFmtId="165" fontId="0" fillId="6" borderId="0" xfId="1" applyNumberFormat="1" applyFont="1" applyFill="1" applyBorder="1" applyAlignment="1">
      <alignment vertical="top" wrapText="1"/>
    </xf>
    <xf numFmtId="165" fontId="0" fillId="6" borderId="0" xfId="1" applyNumberFormat="1" applyFont="1" applyFill="1"/>
    <xf numFmtId="9" fontId="0" fillId="6" borderId="0" xfId="2" applyFont="1" applyFill="1"/>
    <xf numFmtId="165" fontId="0" fillId="5" borderId="0" xfId="1" applyNumberFormat="1" applyFont="1" applyFill="1"/>
    <xf numFmtId="0" fontId="3" fillId="7" borderId="10" xfId="0" applyFont="1" applyFill="1" applyBorder="1" applyAlignment="1">
      <alignment horizontal="center"/>
    </xf>
    <xf numFmtId="165" fontId="0" fillId="7" borderId="10" xfId="1" applyNumberFormat="1" applyFont="1" applyFill="1" applyBorder="1"/>
    <xf numFmtId="165" fontId="0" fillId="7" borderId="11" xfId="1" applyNumberFormat="1" applyFont="1" applyFill="1" applyBorder="1"/>
    <xf numFmtId="0" fontId="0" fillId="12" borderId="0" xfId="0" applyFont="1" applyFill="1"/>
    <xf numFmtId="165" fontId="0" fillId="12" borderId="0" xfId="1" applyNumberFormat="1" applyFont="1" applyFill="1" applyBorder="1" applyAlignment="1">
      <alignment vertical="top" wrapText="1"/>
    </xf>
    <xf numFmtId="165" fontId="0" fillId="12" borderId="0" xfId="0" applyNumberFormat="1" applyFill="1"/>
    <xf numFmtId="9" fontId="0" fillId="12" borderId="0" xfId="2" applyFont="1" applyFill="1"/>
    <xf numFmtId="165" fontId="0" fillId="12" borderId="0" xfId="1" applyNumberFormat="1" applyFont="1" applyFill="1"/>
    <xf numFmtId="10" fontId="0" fillId="12" borderId="0" xfId="0" applyNumberFormat="1" applyFill="1"/>
    <xf numFmtId="9" fontId="0" fillId="12" borderId="0" xfId="2" applyFont="1" applyFill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0" fillId="12" borderId="0" xfId="0" applyFill="1"/>
    <xf numFmtId="168" fontId="0" fillId="0" borderId="0" xfId="3" applyNumberFormat="1" applyFont="1" applyAlignment="1">
      <alignment vertical="top"/>
    </xf>
    <xf numFmtId="0" fontId="2" fillId="12" borderId="10" xfId="0" applyFont="1" applyFill="1" applyBorder="1"/>
    <xf numFmtId="165" fontId="0" fillId="12" borderId="0" xfId="0" applyNumberFormat="1" applyFill="1" applyBorder="1"/>
    <xf numFmtId="165" fontId="0" fillId="12" borderId="6" xfId="0" applyNumberFormat="1" applyFill="1" applyBorder="1"/>
    <xf numFmtId="0" fontId="0" fillId="12" borderId="10" xfId="0" applyFill="1" applyBorder="1"/>
    <xf numFmtId="0" fontId="0" fillId="12" borderId="11" xfId="0" applyFill="1" applyBorder="1"/>
    <xf numFmtId="165" fontId="0" fillId="12" borderId="7" xfId="0" applyNumberFormat="1" applyFill="1" applyBorder="1"/>
    <xf numFmtId="165" fontId="0" fillId="12" borderId="8" xfId="0" applyNumberFormat="1" applyFill="1" applyBorder="1"/>
    <xf numFmtId="0" fontId="3" fillId="12" borderId="11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4" fillId="10" borderId="0" xfId="0" applyFont="1" applyFill="1" applyAlignment="1">
      <alignment vertical="top" wrapText="1"/>
    </xf>
    <xf numFmtId="10" fontId="4" fillId="10" borderId="0" xfId="2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12" borderId="13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</cellXfs>
  <cellStyles count="4">
    <cellStyle name="Migliaia" xfId="1" builtinId="3"/>
    <cellStyle name="Normale" xfId="0" builtinId="0"/>
    <cellStyle name="Percentuale" xfId="2" builtinId="5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penetration regression </a:t>
            </a:r>
            <a:r>
              <a:rPr lang="en-US"/>
              <a:t>G.S.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'Input regression PV'!$B$3:$B$9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96</c:v>
                </c:pt>
                <c:pt idx="3">
                  <c:v>111</c:v>
                </c:pt>
                <c:pt idx="4">
                  <c:v>126</c:v>
                </c:pt>
                <c:pt idx="5">
                  <c:v>141</c:v>
                </c:pt>
                <c:pt idx="6">
                  <c:v>150</c:v>
                </c:pt>
              </c:numCache>
            </c:numRef>
          </c:xVal>
          <c:yVal>
            <c:numRef>
              <c:f>'Input regression PV'!$C$3:$C$9</c:f>
              <c:numCache>
                <c:formatCode>_-* #,##0\ _€_-;\-* #,##0\ _€_-;_-* "-"??\ _€_-;_-@_-</c:formatCode>
                <c:ptCount val="7"/>
                <c:pt idx="0">
                  <c:v>0</c:v>
                </c:pt>
                <c:pt idx="1">
                  <c:v>27300</c:v>
                </c:pt>
                <c:pt idx="2">
                  <c:v>9850</c:v>
                </c:pt>
                <c:pt idx="3">
                  <c:v>21000</c:v>
                </c:pt>
                <c:pt idx="4">
                  <c:v>41600</c:v>
                </c:pt>
                <c:pt idx="5">
                  <c:v>43100</c:v>
                </c:pt>
                <c:pt idx="6">
                  <c:v>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B-7145-8F30-5F0C28F6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7247"/>
        <c:axId val="616029919"/>
      </c:scatterChart>
      <c:valAx>
        <c:axId val="6158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029919"/>
        <c:crosses val="autoZero"/>
        <c:crossBetween val="midCat"/>
      </c:valAx>
      <c:valAx>
        <c:axId val="616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</a:t>
                </a:r>
                <a:r>
                  <a:rPr lang="it-IT" baseline="0"/>
                  <a:t> G.S.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8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between PV penetration and Equivalent PV penetration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'Input regression PV'!$D$17</c:f>
              <c:strCache>
                <c:ptCount val="1"/>
                <c:pt idx="0">
                  <c:v>G.S. cost for 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regression PV'!$D$18:$D$168</c:f>
              <c:numCache>
                <c:formatCode>_-* #,##0\ _€_-;\-* #,##0\ _€_-;_-* "-"??\ _€_-;_-@_-</c:formatCode>
                <c:ptCount val="151"/>
                <c:pt idx="0">
                  <c:v>24.425999999999998</c:v>
                </c:pt>
                <c:pt idx="1">
                  <c:v>2928.6095999999998</c:v>
                </c:pt>
                <c:pt idx="2">
                  <c:v>5656.4971999999998</c:v>
                </c:pt>
                <c:pt idx="3">
                  <c:v>8213.3454000000002</c:v>
                </c:pt>
                <c:pt idx="4">
                  <c:v>10604.346</c:v>
                </c:pt>
                <c:pt idx="5">
                  <c:v>12834.626</c:v>
                </c:pt>
                <c:pt idx="6">
                  <c:v>14909.247599999999</c:v>
                </c:pt>
                <c:pt idx="7">
                  <c:v>16833.208200000001</c:v>
                </c:pt>
                <c:pt idx="8">
                  <c:v>18611.440399999999</c:v>
                </c:pt>
                <c:pt idx="9">
                  <c:v>20248.811999999998</c:v>
                </c:pt>
                <c:pt idx="10">
                  <c:v>21750.126</c:v>
                </c:pt>
                <c:pt idx="11">
                  <c:v>23120.120600000002</c:v>
                </c:pt>
                <c:pt idx="12">
                  <c:v>24363.4692</c:v>
                </c:pt>
                <c:pt idx="13">
                  <c:v>25484.780399999996</c:v>
                </c:pt>
                <c:pt idx="14">
                  <c:v>26488.598000000002</c:v>
                </c:pt>
                <c:pt idx="15">
                  <c:v>27379.401000000002</c:v>
                </c:pt>
                <c:pt idx="16">
                  <c:v>28161.603599999999</c:v>
                </c:pt>
                <c:pt idx="17">
                  <c:v>28839.555199999999</c:v>
                </c:pt>
                <c:pt idx="18">
                  <c:v>29417.540399999994</c:v>
                </c:pt>
                <c:pt idx="19">
                  <c:v>29899.779000000002</c:v>
                </c:pt>
                <c:pt idx="20">
                  <c:v>30290.425999999999</c:v>
                </c:pt>
                <c:pt idx="21">
                  <c:v>30593.571600000003</c:v>
                </c:pt>
                <c:pt idx="22">
                  <c:v>30813.241200000004</c:v>
                </c:pt>
                <c:pt idx="23">
                  <c:v>30953.395400000012</c:v>
                </c:pt>
                <c:pt idx="24">
                  <c:v>31017.93</c:v>
                </c:pt>
                <c:pt idx="25">
                  <c:v>31010.676000000007</c:v>
                </c:pt>
                <c:pt idx="26">
                  <c:v>30935.399599999997</c:v>
                </c:pt>
                <c:pt idx="27">
                  <c:v>30795.802200000009</c:v>
                </c:pt>
                <c:pt idx="28">
                  <c:v>30595.520400000016</c:v>
                </c:pt>
                <c:pt idx="29">
                  <c:v>30338.125999999997</c:v>
                </c:pt>
                <c:pt idx="30">
                  <c:v>30027.126000000011</c:v>
                </c:pt>
                <c:pt idx="31">
                  <c:v>29665.962600000006</c:v>
                </c:pt>
                <c:pt idx="32">
                  <c:v>29258.013200000005</c:v>
                </c:pt>
                <c:pt idx="33">
                  <c:v>28806.590400000012</c:v>
                </c:pt>
                <c:pt idx="34">
                  <c:v>28314.94200000001</c:v>
                </c:pt>
                <c:pt idx="35">
                  <c:v>27786.251000000011</c:v>
                </c:pt>
                <c:pt idx="36">
                  <c:v>27223.635600000001</c:v>
                </c:pt>
                <c:pt idx="37">
                  <c:v>26630.149200000014</c:v>
                </c:pt>
                <c:pt idx="38">
                  <c:v>26008.780400000003</c:v>
                </c:pt>
                <c:pt idx="39">
                  <c:v>25362.45299999999</c:v>
                </c:pt>
                <c:pt idx="40">
                  <c:v>24694.025999999998</c:v>
                </c:pt>
                <c:pt idx="41">
                  <c:v>24006.293599999997</c:v>
                </c:pt>
                <c:pt idx="42">
                  <c:v>23301.985200000017</c:v>
                </c:pt>
                <c:pt idx="43">
                  <c:v>22583.765400000011</c:v>
                </c:pt>
                <c:pt idx="44">
                  <c:v>21854.234000000004</c:v>
                </c:pt>
                <c:pt idx="45">
                  <c:v>21115.926000000007</c:v>
                </c:pt>
                <c:pt idx="46">
                  <c:v>20371.311600000034</c:v>
                </c:pt>
                <c:pt idx="47">
                  <c:v>19622.79619999999</c:v>
                </c:pt>
                <c:pt idx="48">
                  <c:v>18872.720399999984</c:v>
                </c:pt>
                <c:pt idx="49">
                  <c:v>18123.35999999999</c:v>
                </c:pt>
                <c:pt idx="50">
                  <c:v>17376.926000000007</c:v>
                </c:pt>
                <c:pt idx="51">
                  <c:v>16635.564600000016</c:v>
                </c:pt>
                <c:pt idx="52">
                  <c:v>15901.357199999991</c:v>
                </c:pt>
                <c:pt idx="53">
                  <c:v>15176.320399999982</c:v>
                </c:pt>
                <c:pt idx="54">
                  <c:v>14462.406000000014</c:v>
                </c:pt>
                <c:pt idx="55">
                  <c:v>13761.501000000047</c:v>
                </c:pt>
                <c:pt idx="56">
                  <c:v>13075.427600000028</c:v>
                </c:pt>
                <c:pt idx="57">
                  <c:v>12405.943199999972</c:v>
                </c:pt>
                <c:pt idx="58">
                  <c:v>11754.740399999977</c:v>
                </c:pt>
                <c:pt idx="59">
                  <c:v>11123.447</c:v>
                </c:pt>
                <c:pt idx="60">
                  <c:v>10513.626000000018</c:v>
                </c:pt>
                <c:pt idx="61">
                  <c:v>9926.7756000000154</c:v>
                </c:pt>
                <c:pt idx="62">
                  <c:v>9364.3292000000074</c:v>
                </c:pt>
                <c:pt idx="63">
                  <c:v>8827.6554000000251</c:v>
                </c:pt>
                <c:pt idx="64">
                  <c:v>8318.0580000000045</c:v>
                </c:pt>
                <c:pt idx="65">
                  <c:v>7836.7760000000126</c:v>
                </c:pt>
                <c:pt idx="66">
                  <c:v>7384.9836000000214</c:v>
                </c:pt>
                <c:pt idx="67">
                  <c:v>6963.7902000000322</c:v>
                </c:pt>
                <c:pt idx="68">
                  <c:v>6574.2404000000097</c:v>
                </c:pt>
                <c:pt idx="69">
                  <c:v>6217.3140000000058</c:v>
                </c:pt>
                <c:pt idx="70">
                  <c:v>5893.9260000000068</c:v>
                </c:pt>
                <c:pt idx="71">
                  <c:v>5604.9266000000353</c:v>
                </c:pt>
                <c:pt idx="72">
                  <c:v>5351.1012000000046</c:v>
                </c:pt>
                <c:pt idx="73">
                  <c:v>5133.1704000000318</c:v>
                </c:pt>
                <c:pt idx="74">
                  <c:v>4951.7900000000518</c:v>
                </c:pt>
                <c:pt idx="75">
                  <c:v>4807.5509999999776</c:v>
                </c:pt>
                <c:pt idx="76">
                  <c:v>4700.9795999999624</c:v>
                </c:pt>
                <c:pt idx="77">
                  <c:v>4632.5372000000061</c:v>
                </c:pt>
                <c:pt idx="78">
                  <c:v>4602.6203999999707</c:v>
                </c:pt>
                <c:pt idx="79">
                  <c:v>4611.5610000000597</c:v>
                </c:pt>
                <c:pt idx="80">
                  <c:v>4659.6259999999311</c:v>
                </c:pt>
                <c:pt idx="81">
                  <c:v>4747.0176000000502</c:v>
                </c:pt>
                <c:pt idx="82">
                  <c:v>4873.8731999999727</c:v>
                </c:pt>
                <c:pt idx="83">
                  <c:v>5040.2654000000184</c:v>
                </c:pt>
                <c:pt idx="84">
                  <c:v>5246.2020000000484</c:v>
                </c:pt>
                <c:pt idx="85">
                  <c:v>5491.6260000000475</c:v>
                </c:pt>
                <c:pt idx="86">
                  <c:v>5776.4155999999784</c:v>
                </c:pt>
                <c:pt idx="87">
                  <c:v>6100.3842000000586</c:v>
                </c:pt>
                <c:pt idx="88">
                  <c:v>6463.2803999999596</c:v>
                </c:pt>
                <c:pt idx="89">
                  <c:v>6864.7879999998841</c:v>
                </c:pt>
                <c:pt idx="90">
                  <c:v>7304.5259999999544</c:v>
                </c:pt>
                <c:pt idx="91">
                  <c:v>7782.0485999999219</c:v>
                </c:pt>
                <c:pt idx="92">
                  <c:v>8296.845200000098</c:v>
                </c:pt>
                <c:pt idx="93">
                  <c:v>8848.3404000000155</c:v>
                </c:pt>
                <c:pt idx="94">
                  <c:v>9435.893999999942</c:v>
                </c:pt>
                <c:pt idx="95">
                  <c:v>10058.800999999978</c:v>
                </c:pt>
                <c:pt idx="96">
                  <c:v>10716.29159999988</c:v>
                </c:pt>
                <c:pt idx="97">
                  <c:v>11407.531199999998</c:v>
                </c:pt>
                <c:pt idx="98">
                  <c:v>12131.620399999956</c:v>
                </c:pt>
                <c:pt idx="99">
                  <c:v>12887.594999999943</c:v>
                </c:pt>
                <c:pt idx="100">
                  <c:v>13674.425999999978</c:v>
                </c:pt>
                <c:pt idx="101">
                  <c:v>14491.0196</c:v>
                </c:pt>
                <c:pt idx="102">
                  <c:v>15336.217200000014</c:v>
                </c:pt>
                <c:pt idx="103">
                  <c:v>16208.795399999944</c:v>
                </c:pt>
                <c:pt idx="104">
                  <c:v>17107.465999999898</c:v>
                </c:pt>
                <c:pt idx="105">
                  <c:v>18030.875999999931</c:v>
                </c:pt>
                <c:pt idx="106">
                  <c:v>18977.607599999872</c:v>
                </c:pt>
                <c:pt idx="107">
                  <c:v>19946.178199999966</c:v>
                </c:pt>
                <c:pt idx="108">
                  <c:v>20935.040399999998</c:v>
                </c:pt>
                <c:pt idx="109">
                  <c:v>21942.581999999878</c:v>
                </c:pt>
                <c:pt idx="110">
                  <c:v>22967.126000000164</c:v>
                </c:pt>
                <c:pt idx="111">
                  <c:v>24006.930599999905</c:v>
                </c:pt>
                <c:pt idx="112">
                  <c:v>25060.189199999964</c:v>
                </c:pt>
                <c:pt idx="113">
                  <c:v>26125.030400000047</c:v>
                </c:pt>
                <c:pt idx="114">
                  <c:v>27199.517999999807</c:v>
                </c:pt>
                <c:pt idx="115">
                  <c:v>28281.651000000071</c:v>
                </c:pt>
                <c:pt idx="116">
                  <c:v>29369.363599999866</c:v>
                </c:pt>
                <c:pt idx="117">
                  <c:v>30460.525199999858</c:v>
                </c:pt>
                <c:pt idx="118">
                  <c:v>31552.940399999963</c:v>
                </c:pt>
                <c:pt idx="119">
                  <c:v>32644.348999999813</c:v>
                </c:pt>
                <c:pt idx="120">
                  <c:v>33732.425999999978</c:v>
                </c:pt>
                <c:pt idx="121">
                  <c:v>34814.781600000104</c:v>
                </c:pt>
                <c:pt idx="122">
                  <c:v>35888.961199999903</c:v>
                </c:pt>
                <c:pt idx="123">
                  <c:v>36952.445399999968</c:v>
                </c:pt>
                <c:pt idx="124">
                  <c:v>38002.649999999907</c:v>
                </c:pt>
                <c:pt idx="125">
                  <c:v>39036.925999999978</c:v>
                </c:pt>
                <c:pt idx="126">
                  <c:v>40052.559600000153</c:v>
                </c:pt>
                <c:pt idx="127">
                  <c:v>41046.772200000007</c:v>
                </c:pt>
                <c:pt idx="128">
                  <c:v>42016.720399999991</c:v>
                </c:pt>
                <c:pt idx="129">
                  <c:v>42959.495999999926</c:v>
                </c:pt>
                <c:pt idx="130">
                  <c:v>43872.125999999931</c:v>
                </c:pt>
                <c:pt idx="131">
                  <c:v>44751.572599999607</c:v>
                </c:pt>
                <c:pt idx="132">
                  <c:v>45594.733199999901</c:v>
                </c:pt>
                <c:pt idx="133">
                  <c:v>46398.440399999847</c:v>
                </c:pt>
                <c:pt idx="134">
                  <c:v>47159.462000000058</c:v>
                </c:pt>
                <c:pt idx="135">
                  <c:v>47874.500999999931</c:v>
                </c:pt>
                <c:pt idx="136">
                  <c:v>48540.195599999744</c:v>
                </c:pt>
                <c:pt idx="137">
                  <c:v>49153.119199999725</c:v>
                </c:pt>
                <c:pt idx="138">
                  <c:v>49709.780399999931</c:v>
                </c:pt>
                <c:pt idx="139">
                  <c:v>50206.622999999672</c:v>
                </c:pt>
                <c:pt idx="140">
                  <c:v>50640.025999999838</c:v>
                </c:pt>
                <c:pt idx="141">
                  <c:v>51006.303599999519</c:v>
                </c:pt>
                <c:pt idx="142">
                  <c:v>51301.705199999968</c:v>
                </c:pt>
                <c:pt idx="143">
                  <c:v>51522.415399999823</c:v>
                </c:pt>
                <c:pt idx="144">
                  <c:v>51664.554000000004</c:v>
                </c:pt>
                <c:pt idx="145">
                  <c:v>51724.175999999978</c:v>
                </c:pt>
                <c:pt idx="146">
                  <c:v>51697.271600000095</c:v>
                </c:pt>
                <c:pt idx="147">
                  <c:v>51579.766199999722</c:v>
                </c:pt>
                <c:pt idx="148">
                  <c:v>51367.52040000027</c:v>
                </c:pt>
                <c:pt idx="149">
                  <c:v>51056.329999999609</c:v>
                </c:pt>
                <c:pt idx="150">
                  <c:v>50641.925999999978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8141-96E7-3B3361E8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97119"/>
        <c:axId val="667859407"/>
      </c:lineChart>
      <c:catAx>
        <c:axId val="6822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859407"/>
        <c:crosses val="autoZero"/>
        <c:auto val="0"/>
        <c:lblAlgn val="ctr"/>
        <c:lblOffset val="100"/>
        <c:noMultiLvlLbl val="0"/>
      </c:catAx>
      <c:valAx>
        <c:axId val="6678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 G.S.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2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'Battery cost trend'!$C$1:$D$1</c:f>
              <c:strCache>
                <c:ptCount val="1"/>
                <c:pt idx="0">
                  <c:v>Source: REA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trend'!$D$3:$D$19</c:f>
              <c:numCache>
                <c:formatCode>_-* #,##0\ _€_-;\-* #,##0\ _€_-;_-* "-"??\ _€_-;_-@_-</c:formatCode>
                <c:ptCount val="17"/>
                <c:pt idx="0">
                  <c:v>1492.8738586103007</c:v>
                </c:pt>
                <c:pt idx="1">
                  <c:v>1400</c:v>
                </c:pt>
                <c:pt idx="2">
                  <c:v>1307.1261413896993</c:v>
                </c:pt>
                <c:pt idx="3">
                  <c:v>1220.4133925030887</c:v>
                </c:pt>
                <c:pt idx="4">
                  <c:v>1139.4530347449106</c:v>
                </c:pt>
                <c:pt idx="5">
                  <c:v>1063.8634632863557</c:v>
                </c:pt>
                <c:pt idx="6">
                  <c:v>993.28838837926867</c:v>
                </c:pt>
                <c:pt idx="7">
                  <c:v>927.39515599241884</c:v>
                </c:pt>
                <c:pt idx="8">
                  <c:v>865.8731798541919</c:v>
                </c:pt>
                <c:pt idx="9">
                  <c:v>808.43247751117065</c:v>
                </c:pt>
                <c:pt idx="10">
                  <c:v>754.80230350235092</c:v>
                </c:pt>
                <c:pt idx="11">
                  <c:v>704.72987320648906</c:v>
                </c:pt>
                <c:pt idx="12">
                  <c:v>657.97917134746433</c:v>
                </c:pt>
                <c:pt idx="13">
                  <c:v>614.32983954157339</c:v>
                </c:pt>
                <c:pt idx="14">
                  <c:v>573.5761376432356</c:v>
                </c:pt>
                <c:pt idx="15">
                  <c:v>535.5259739934354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3-9C4A-B27F-B46E3F509053}"/>
            </c:ext>
          </c:extLst>
        </c:ser>
        <c:ser>
          <c:idx val="0"/>
          <c:order val="1"/>
          <c:tx>
            <c:strRef>
              <c:f>'Battery cost trend'!$A$1:$B$1</c:f>
              <c:strCache>
                <c:ptCount val="1"/>
                <c:pt idx="0">
                  <c:v>Source: ICF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trend'!$B$3:$B$13</c:f>
              <c:numCache>
                <c:formatCode>_-* #,##0\ _€_-;\-* #,##0\ _€_-;_-* "-"??\ _€_-;_-@_-</c:formatCode>
                <c:ptCount val="11"/>
                <c:pt idx="0">
                  <c:v>1100</c:v>
                </c:pt>
                <c:pt idx="1">
                  <c:v>1037.0182517702588</c:v>
                </c:pt>
                <c:pt idx="2">
                  <c:v>977.64259500422156</c:v>
                </c:pt>
                <c:pt idx="3">
                  <c:v>921.66655884310626</c:v>
                </c:pt>
                <c:pt idx="4">
                  <c:v>868.89549415144393</c:v>
                </c:pt>
                <c:pt idx="5">
                  <c:v>819.14589665089591</c:v>
                </c:pt>
                <c:pt idx="6">
                  <c:v>772.24476880881195</c:v>
                </c:pt>
                <c:pt idx="7">
                  <c:v>728.02901826258346</c:v>
                </c:pt>
                <c:pt idx="8">
                  <c:v>686.34489068789276</c:v>
                </c:pt>
                <c:pt idx="9">
                  <c:v>647.04743513873439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3-9C4A-B27F-B46E3F509053}"/>
            </c:ext>
          </c:extLst>
        </c:ser>
        <c:ser>
          <c:idx val="2"/>
          <c:order val="2"/>
          <c:tx>
            <c:strRef>
              <c:f>'Battery cost trend'!$E$1:$F$1</c:f>
              <c:strCache>
                <c:ptCount val="1"/>
                <c:pt idx="0">
                  <c:v>Source: BSW 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trend'!$F$3:$F$7</c:f>
              <c:numCache>
                <c:formatCode>_-* #,##0\ _€_-;\-* #,##0\ _€_-;_-* "-"??\ _€_-;_-@_-</c:formatCode>
                <c:ptCount val="5"/>
                <c:pt idx="0">
                  <c:v>1400</c:v>
                </c:pt>
                <c:pt idx="1">
                  <c:v>1221.7575572712149</c:v>
                </c:pt>
                <c:pt idx="2">
                  <c:v>1066.2082348209472</c:v>
                </c:pt>
                <c:pt idx="3">
                  <c:v>930.46283465521026</c:v>
                </c:pt>
                <c:pt idx="4">
                  <c:v>812.00000000000011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3-9C4A-B27F-B46E3F509053}"/>
            </c:ext>
          </c:extLst>
        </c:ser>
        <c:ser>
          <c:idx val="3"/>
          <c:order val="3"/>
          <c:tx>
            <c:strRef>
              <c:f>'Battery cost trend'!$H$2</c:f>
              <c:strCache>
                <c:ptCount val="1"/>
                <c:pt idx="0">
                  <c:v>Simulated data (LINKS) $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'Battery cost trend'!$H$3:$H$19</c:f>
              <c:numCache>
                <c:formatCode>_-* #,##0\ _€_-;\-* #,##0\ _€_-;_-* "-"??\ _€_-;_-@_-</c:formatCode>
                <c:ptCount val="17"/>
                <c:pt idx="0">
                  <c:v>1330.9579528701004</c:v>
                </c:pt>
                <c:pt idx="1">
                  <c:v>1235.6382999551226</c:v>
                </c:pt>
                <c:pt idx="2">
                  <c:v>1147.1451859343595</c:v>
                </c:pt>
                <c:pt idx="3">
                  <c:v>1064.9897123293847</c:v>
                </c:pt>
                <c:pt idx="4">
                  <c:v>988.71799426469954</c:v>
                </c:pt>
                <c:pt idx="5">
                  <c:v>917.90865288702935</c:v>
                </c:pt>
                <c:pt idx="6">
                  <c:v>852.1704873708527</c:v>
                </c:pt>
                <c:pt idx="7">
                  <c:v>791.14031364867435</c:v>
                </c:pt>
                <c:pt idx="8">
                  <c:v>734.48095792566289</c:v>
                </c:pt>
                <c:pt idx="9">
                  <c:v>681.87939389340875</c:v>
                </c:pt>
                <c:pt idx="10">
                  <c:v>633.04501335145733</c:v>
                </c:pt>
                <c:pt idx="11">
                  <c:v>587.70802068230762</c:v>
                </c:pt>
                <c:pt idx="12">
                  <c:v>545.61794230982161</c:v>
                </c:pt>
                <c:pt idx="13">
                  <c:v>506.54224290624143</c:v>
                </c:pt>
                <c:pt idx="14">
                  <c:v>470.26504070276235</c:v>
                </c:pt>
                <c:pt idx="15">
                  <c:v>436.58591480613075</c:v>
                </c:pt>
                <c:pt idx="16">
                  <c:v>405.31879793204121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6-9B4E-A90C-A7245712B7E0}"/>
            </c:ext>
          </c:extLst>
        </c:ser>
        <c:ser>
          <c:idx val="4"/>
          <c:order val="4"/>
          <c:tx>
            <c:strRef>
              <c:f>'Battery cost trend'!$I$2</c:f>
              <c:strCache>
                <c:ptCount val="1"/>
                <c:pt idx="0">
                  <c:v>Simulated data (LINKS) EURO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'Battery cost trend'!$I$3:$I$19</c:f>
              <c:numCache>
                <c:formatCode>_-* #,##0\ _€_-;\-* #,##0\ _€_-;_-* "-"??\ _€_-;_-@_-</c:formatCode>
                <c:ptCount val="17"/>
                <c:pt idx="0">
                  <c:v>1184.5525780543894</c:v>
                </c:pt>
                <c:pt idx="1">
                  <c:v>1099.7180869600593</c:v>
                </c:pt>
                <c:pt idx="2">
                  <c:v>1020.9592154815799</c:v>
                </c:pt>
                <c:pt idx="3">
                  <c:v>947.84084397315235</c:v>
                </c:pt>
                <c:pt idx="4">
                  <c:v>879.95901489558264</c:v>
                </c:pt>
                <c:pt idx="5">
                  <c:v>816.9387010694561</c:v>
                </c:pt>
                <c:pt idx="6">
                  <c:v>758.43173376005893</c:v>
                </c:pt>
                <c:pt idx="7">
                  <c:v>704.11487914732015</c:v>
                </c:pt>
                <c:pt idx="8">
                  <c:v>653.68805255383995</c:v>
                </c:pt>
                <c:pt idx="9">
                  <c:v>606.87266056513374</c:v>
                </c:pt>
                <c:pt idx="10">
                  <c:v>563.41006188279698</c:v>
                </c:pt>
                <c:pt idx="11">
                  <c:v>523.06013840725382</c:v>
                </c:pt>
                <c:pt idx="12">
                  <c:v>485.59996865574124</c:v>
                </c:pt>
                <c:pt idx="13">
                  <c:v>450.8225961865549</c:v>
                </c:pt>
                <c:pt idx="14">
                  <c:v>418.53588622545851</c:v>
                </c:pt>
                <c:pt idx="15">
                  <c:v>388.56146417745634</c:v>
                </c:pt>
                <c:pt idx="16">
                  <c:v>360.73373015951665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A-C846-9FE0-B75BFA47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1360"/>
        <c:axId val="538415808"/>
      </c:lineChart>
      <c:catAx>
        <c:axId val="423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415808"/>
        <c:crosses val="autoZero"/>
        <c:auto val="1"/>
        <c:lblAlgn val="ctr"/>
        <c:lblOffset val="100"/>
        <c:noMultiLvlLbl val="0"/>
      </c:catAx>
      <c:valAx>
        <c:axId val="53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6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TCO FOR DIFFERENT SCENARIOS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'COMPARISON 1'!$A$2</c:f>
              <c:strCache>
                <c:ptCount val="1"/>
                <c:pt idx="0">
                  <c:v>TCO (DSO)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1'!$B$1:$E$1</c:f>
              <c:strCache>
                <c:ptCount val="4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  <c:pt idx="3">
                  <c:v>SCENARIO 3
(Both centralized and decentralized storage)</c:v>
                </c:pt>
              </c:strCache>
            </c:strRef>
          </c:cat>
          <c:val>
            <c:numRef>
              <c:f>'COMPARISON 1'!$B$2:$E$2</c:f>
              <c:numCache>
                <c:formatCode>_-* #,##0\ "€"_-;\-* #,##0\ "€"_-;_-* "-"??\ "€"_-;_-@_-</c:formatCode>
                <c:ptCount val="4"/>
                <c:pt idx="0">
                  <c:v>42831.734239651378</c:v>
                </c:pt>
                <c:pt idx="1">
                  <c:v>38084.027857379064</c:v>
                </c:pt>
                <c:pt idx="2">
                  <c:v>120845.4206456465</c:v>
                </c:pt>
                <c:pt idx="3">
                  <c:v>92987.212046442248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8C4F-97B3-40B14147D7B3}"/>
            </c:ext>
          </c:extLst>
        </c:ser>
        <c:ser>
          <c:idx val="2"/>
          <c:order val="1"/>
          <c:tx>
            <c:strRef>
              <c:f>'COMPARISON 1'!$A$3</c:f>
              <c:strCache>
                <c:ptCount val="1"/>
                <c:pt idx="0">
                  <c:v>TCO (Prosumers - aggregate)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1'!$B$3:$E$3</c:f>
              <c:numCache>
                <c:formatCode>_-* #,##0\ "€"_-;\-* #,##0\ "€"_-;_-* "-"??\ "€"_-;_-@_-</c:formatCode>
                <c:ptCount val="4"/>
                <c:pt idx="0">
                  <c:v>136577.48781218039</c:v>
                </c:pt>
                <c:pt idx="1">
                  <c:v>210725.21748460151</c:v>
                </c:pt>
                <c:pt idx="2">
                  <c:v>134960.12282493088</c:v>
                </c:pt>
                <c:pt idx="3">
                  <c:v>250563.58266229375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0-374C-B34F-4D1978D6927B}"/>
            </c:ext>
          </c:extLst>
        </c:ser>
        <c:ser>
          <c:idx val="1"/>
          <c:order val="2"/>
          <c:tx>
            <c:strRef>
              <c:f>'COMPARISON 1'!$A$4</c:f>
              <c:strCache>
                <c:ptCount val="1"/>
                <c:pt idx="0">
                  <c:v>TCO (Community)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287745448931183E-2"/>
                  <c:y val="-2.111248889164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E8-8C4F-97B3-40B14147D7B3}"/>
                </c:ext>
              </c:extLst>
            </c:dLbl>
            <c:dLbl>
              <c:idx val="1"/>
              <c:layout>
                <c:manualLayout>
                  <c:x val="1.8248175182481684E-2"/>
                  <c:y val="2.7397260273972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E8-8C4F-97B3-40B14147D7B3}"/>
                </c:ext>
              </c:extLst>
            </c:dLbl>
            <c:dLbl>
              <c:idx val="2"/>
              <c:layout>
                <c:manualLayout>
                  <c:x val="3.6411778741561047E-2"/>
                  <c:y val="-3.4465868931737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E8-8C4F-97B3-40B14147D7B3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1'!$B$1:$E$1</c:f>
              <c:strCache>
                <c:ptCount val="4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  <c:pt idx="3">
                  <c:v>SCENARIO 3
(Both centralized and decentralized storage)</c:v>
                </c:pt>
              </c:strCache>
            </c:strRef>
          </c:cat>
          <c:val>
            <c:numRef>
              <c:f>'COMPARISON 1'!$B$4:$E$4</c:f>
              <c:numCache>
                <c:formatCode>_-* #,##0\ "€"_-;\-* #,##0\ "€"_-;_-* "-"??\ "€"_-;_-@_-</c:formatCode>
                <c:ptCount val="4"/>
                <c:pt idx="0">
                  <c:v>179409.22205183178</c:v>
                </c:pt>
                <c:pt idx="1">
                  <c:v>248809.24534198057</c:v>
                </c:pt>
                <c:pt idx="2">
                  <c:v>255805.5434705774</c:v>
                </c:pt>
                <c:pt idx="3">
                  <c:v>343550.79470873601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8-8C4F-97B3-40B14147D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8860159"/>
        <c:axId val="188777423"/>
        <c:axId val="0"/>
      </c:bar3DChart>
      <c:catAx>
        <c:axId val="1888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777423"/>
        <c:crosses val="autoZero"/>
        <c:auto val="1"/>
        <c:lblAlgn val="ctr"/>
        <c:lblOffset val="100"/>
        <c:noMultiLvlLbl val="0"/>
      </c:catAx>
      <c:valAx>
        <c:axId val="1887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88900</xdr:rowOff>
    </xdr:from>
    <xdr:to>
      <xdr:col>13</xdr:col>
      <xdr:colOff>241300</xdr:colOff>
      <xdr:row>18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37E053-B168-454E-9BC9-EAF4A4C8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127000</xdr:rowOff>
    </xdr:from>
    <xdr:to>
      <xdr:col>13</xdr:col>
      <xdr:colOff>571500</xdr:colOff>
      <xdr:row>37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A4CEA9-C105-A449-BCC9-08F1BBE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1</xdr:row>
      <xdr:rowOff>117475</xdr:rowOff>
    </xdr:from>
    <xdr:to>
      <xdr:col>20</xdr:col>
      <xdr:colOff>666750</xdr:colOff>
      <xdr:row>29</xdr:row>
      <xdr:rowOff>174625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E06E88-9AA7-4447-9251-6BDB5720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D7050B3-8251-7443-9797-7420FDF3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6223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1054100</xdr:colOff>
      <xdr:row>2</xdr:row>
      <xdr:rowOff>25400</xdr:rowOff>
    </xdr:from>
    <xdr:to>
      <xdr:col>0</xdr:col>
      <xdr:colOff>1270000</xdr:colOff>
      <xdr:row>3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E3D1F34-5E00-4149-B535-856825528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2286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78CC8CD-6396-D646-AFF3-40C57F0A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128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976C4ED-9946-4544-8A2A-D76321C0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DB7348-0C5B-7D45-ADEF-66E2CD846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A71AA2C-17F4-9A47-9ECF-A040EED2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E9A1EEB-F3E4-8C44-958F-435FF96A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7A7896E-F41F-754D-8435-BCC75B9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82FE6A5-D995-DF4D-ACF5-7C86F650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2342CB3-B8AA-A843-B102-1C6338CC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89A5315-53C0-8A4D-B416-56CDEC2C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73A26C9-B194-004F-9AD3-EAB5F4B54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3801E6-516E-B249-8F10-BADA2F320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E72DB5E-689A-EA4A-BEAA-3B8B8EF6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2777A138-88AE-F048-B162-845D69F5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78AC7A91-3D71-1243-8814-404904AB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0857B11-2C23-B242-B475-772A6B46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544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DC44C214-3CEC-3342-A1A6-423DDFBF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57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A6649D0D-4CCB-AE44-8FE3-655DBFF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69F4A69-775A-FF4F-B903-599B7E14E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9F7276C-85B8-084A-BEBD-0E56CE50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5D9D107-5034-3E4A-B761-D489A694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C32B113-EF77-CF41-B177-319E77C9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3CB0599C-DB11-7C44-85F7-EB9EACEC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7E650A50-1C94-A748-8291-A9FE731B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6173B94-236B-D447-B836-11F0DF03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7FA452E-9542-4447-A55C-6C51D31C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384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E4793DC2-2D5E-3143-A2E9-883326D0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2CEE3D16-42F5-9D45-8B8E-0E2F94D5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7DC6D5E7-DC81-BF40-BB1C-91F091A9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F7B4118-84F7-E847-9D15-6D0752265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931DD7E9-991A-9241-AD02-4BF0BCEE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6FD1EB2-AEA5-7843-81E9-CC9F3314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D5E6FB6-3012-A44A-A17C-AD6D159C3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F4FAD38-E66E-5149-98C3-FC9D81DF6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168B3860-D2C6-FF4E-B47E-5AB56B90E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91518111-A6AE-F74C-B773-CFECD9A71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FC74C3C-72AC-9C4D-8067-E0B76140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273014</xdr:colOff>
      <xdr:row>11</xdr:row>
      <xdr:rowOff>173736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C75FEFD-F8FA-144B-A4F1-9028B98F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73014" cy="173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330200</xdr:colOff>
      <xdr:row>13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6E03B4D-64F9-5A4A-A603-F29ADDBA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384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508000</xdr:colOff>
      <xdr:row>14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5168762-DCD4-DE40-92A3-F2DBF0B6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863600</xdr:colOff>
      <xdr:row>16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D494A973-02FA-B141-98DF-EB8BE137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1295400</xdr:colOff>
      <xdr:row>18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16463301-7243-8241-B3D0-CB20DA71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508000</xdr:colOff>
      <xdr:row>19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3C798B68-4B1A-9143-B77B-98DC12EE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584200</xdr:colOff>
      <xdr:row>20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4F8AA1CF-90F1-E041-854C-1D84F30A6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279400</xdr:colOff>
      <xdr:row>12</xdr:row>
      <xdr:rowOff>177800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8018F5D5-ABB7-D74A-BE5A-201E0FE8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508000</xdr:colOff>
      <xdr:row>15</xdr:row>
      <xdr:rowOff>177800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6EE5B5FD-9320-DB4A-9A3F-9230ECCFE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584200</xdr:colOff>
      <xdr:row>21</xdr:row>
      <xdr:rowOff>177800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0E9754E7-D92B-0748-9C76-022B8BA5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863600</xdr:colOff>
      <xdr:row>17</xdr:row>
      <xdr:rowOff>190500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45D6C4FC-F788-D841-87DA-B9A55872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544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0</xdr:rowOff>
    </xdr:from>
    <xdr:to>
      <xdr:col>4</xdr:col>
      <xdr:colOff>1625600</xdr:colOff>
      <xdr:row>32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C39AD1-1301-9D42-A248-514FAB05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EC-4F76-8B42-9985-957545FE1E62}">
  <dimension ref="A1:F168"/>
  <sheetViews>
    <sheetView zoomScale="88" zoomScaleNormal="60" workbookViewId="0">
      <selection activeCell="C20" sqref="C20"/>
    </sheetView>
  </sheetViews>
  <sheetFormatPr baseColWidth="10" defaultRowHeight="16" x14ac:dyDescent="0.2"/>
  <cols>
    <col min="3" max="3" width="14.83203125" bestFit="1" customWidth="1"/>
    <col min="4" max="4" width="14.33203125" bestFit="1" customWidth="1"/>
    <col min="5" max="5" width="23.5" bestFit="1" customWidth="1"/>
    <col min="6" max="6" width="12" bestFit="1" customWidth="1"/>
  </cols>
  <sheetData>
    <row r="1" spans="1:6" x14ac:dyDescent="0.2">
      <c r="B1" s="95" t="s">
        <v>3</v>
      </c>
      <c r="C1" s="95"/>
      <c r="D1" s="96" t="s">
        <v>4</v>
      </c>
      <c r="E1" s="96"/>
    </row>
    <row r="2" spans="1:6" x14ac:dyDescent="0.2">
      <c r="B2" s="1" t="s">
        <v>1</v>
      </c>
      <c r="C2" s="1" t="s">
        <v>5</v>
      </c>
      <c r="D2" s="2" t="s">
        <v>6</v>
      </c>
      <c r="E2" s="2" t="s">
        <v>2</v>
      </c>
    </row>
    <row r="3" spans="1:6" x14ac:dyDescent="0.2">
      <c r="A3" s="29">
        <v>0</v>
      </c>
      <c r="B3" s="3">
        <v>0</v>
      </c>
      <c r="C3" s="7">
        <v>0</v>
      </c>
      <c r="D3" s="4" t="s">
        <v>7</v>
      </c>
      <c r="E3" s="31">
        <v>24.425999999999998</v>
      </c>
      <c r="F3" s="8">
        <f>E3-7000</f>
        <v>-6975.5739999999996</v>
      </c>
    </row>
    <row r="4" spans="1:6" x14ac:dyDescent="0.2">
      <c r="A4" s="29">
        <v>0.24</v>
      </c>
      <c r="B4" s="3">
        <v>36</v>
      </c>
      <c r="C4" s="7">
        <v>27300</v>
      </c>
      <c r="D4" s="4" t="s">
        <v>8</v>
      </c>
      <c r="E4" s="31">
        <v>2994.1</v>
      </c>
      <c r="F4" s="8">
        <f>E4</f>
        <v>2994.1</v>
      </c>
    </row>
    <row r="5" spans="1:6" x14ac:dyDescent="0.2">
      <c r="A5" s="29">
        <v>0.64</v>
      </c>
      <c r="B5" s="3">
        <v>96</v>
      </c>
      <c r="C5" s="7">
        <v>9850</v>
      </c>
      <c r="D5" s="4" t="s">
        <v>9</v>
      </c>
      <c r="E5" s="30">
        <v>-90.805999999999997</v>
      </c>
      <c r="F5" s="8">
        <f>E5</f>
        <v>-90.805999999999997</v>
      </c>
    </row>
    <row r="6" spans="1:6" x14ac:dyDescent="0.2">
      <c r="A6" s="29">
        <v>0.74</v>
      </c>
      <c r="B6" s="3">
        <v>111</v>
      </c>
      <c r="C6" s="7">
        <v>21000</v>
      </c>
      <c r="D6" s="4" t="s">
        <v>23</v>
      </c>
      <c r="E6" s="32">
        <v>0.89229999999999998</v>
      </c>
      <c r="F6" s="30"/>
    </row>
    <row r="7" spans="1:6" x14ac:dyDescent="0.2">
      <c r="A7" s="29">
        <v>0.84</v>
      </c>
      <c r="B7" s="3">
        <v>126</v>
      </c>
      <c r="C7" s="7">
        <v>41600</v>
      </c>
      <c r="D7" s="4" t="s">
        <v>24</v>
      </c>
      <c r="E7" s="32">
        <v>-2.7000000000000001E-3</v>
      </c>
      <c r="F7" s="32"/>
    </row>
    <row r="8" spans="1:6" x14ac:dyDescent="0.2">
      <c r="A8" s="29">
        <v>0.94</v>
      </c>
      <c r="B8" s="3">
        <v>141</v>
      </c>
      <c r="C8" s="7">
        <v>43100</v>
      </c>
    </row>
    <row r="9" spans="1:6" x14ac:dyDescent="0.2">
      <c r="A9" s="29">
        <v>1</v>
      </c>
      <c r="B9" s="3">
        <v>150</v>
      </c>
      <c r="C9" s="7">
        <v>47500</v>
      </c>
    </row>
    <row r="16" spans="1:6" x14ac:dyDescent="0.2">
      <c r="B16" s="97" t="s">
        <v>10</v>
      </c>
      <c r="C16" s="97"/>
      <c r="D16" s="97"/>
    </row>
    <row r="17" spans="2:6" x14ac:dyDescent="0.2">
      <c r="B17" s="38" t="s">
        <v>1</v>
      </c>
      <c r="C17" s="38" t="s">
        <v>0</v>
      </c>
      <c r="D17" s="38" t="s">
        <v>11</v>
      </c>
      <c r="E17" s="5" t="s">
        <v>12</v>
      </c>
      <c r="F17" s="5" t="s">
        <v>21</v>
      </c>
    </row>
    <row r="18" spans="2:6" x14ac:dyDescent="0.2">
      <c r="B18" s="34">
        <v>0</v>
      </c>
      <c r="C18" s="39">
        <f>B18/$B$168</f>
        <v>0</v>
      </c>
      <c r="D18" s="40">
        <f>$E$3+$E$4*B18+E$5*B18^2+$E$6*B18^3+$E$7*B18^4</f>
        <v>24.425999999999998</v>
      </c>
      <c r="E18" s="9">
        <f>$F$3+$F$4*B18+$F$5*B18^2</f>
        <v>-6975.5739999999996</v>
      </c>
    </row>
    <row r="19" spans="2:6" x14ac:dyDescent="0.2">
      <c r="B19" s="34">
        <v>1</v>
      </c>
      <c r="C19" s="39">
        <f t="shared" ref="C19:C24" si="0">B19/$B$168</f>
        <v>6.6666666666666671E-3</v>
      </c>
      <c r="D19" s="40">
        <f t="shared" ref="D19:D82" si="1">$E$3+$E$4*B19+E$5*B19^2+$E$6*B19^3+$E$7*B19^4</f>
        <v>2928.6095999999998</v>
      </c>
      <c r="E19" s="9">
        <f t="shared" ref="E19:E82" si="2">$F$3+$F$4*B19+$F$5*B19^2</f>
        <v>-4072.2799999999997</v>
      </c>
    </row>
    <row r="20" spans="2:6" x14ac:dyDescent="0.2">
      <c r="B20" s="34">
        <v>2</v>
      </c>
      <c r="C20" s="39">
        <f t="shared" si="0"/>
        <v>1.3333333333333334E-2</v>
      </c>
      <c r="D20" s="40">
        <f t="shared" si="1"/>
        <v>5656.4971999999998</v>
      </c>
      <c r="E20" s="9">
        <f t="shared" si="2"/>
        <v>-1350.5979999999997</v>
      </c>
    </row>
    <row r="21" spans="2:6" x14ac:dyDescent="0.2">
      <c r="B21" s="34">
        <v>3</v>
      </c>
      <c r="C21" s="39">
        <f t="shared" si="0"/>
        <v>0.02</v>
      </c>
      <c r="D21" s="40">
        <f t="shared" si="1"/>
        <v>8213.3454000000002</v>
      </c>
      <c r="E21" s="9">
        <f t="shared" si="2"/>
        <v>1189.4719999999998</v>
      </c>
    </row>
    <row r="22" spans="2:6" x14ac:dyDescent="0.2">
      <c r="B22" s="34">
        <v>4</v>
      </c>
      <c r="C22" s="39">
        <f t="shared" si="0"/>
        <v>2.6666666666666668E-2</v>
      </c>
      <c r="D22" s="40">
        <f t="shared" si="1"/>
        <v>10604.346</v>
      </c>
      <c r="E22" s="9">
        <f t="shared" si="2"/>
        <v>3547.9300000000003</v>
      </c>
    </row>
    <row r="23" spans="2:6" x14ac:dyDescent="0.2">
      <c r="B23" s="34">
        <v>5</v>
      </c>
      <c r="C23" s="39">
        <f t="shared" si="0"/>
        <v>3.3333333333333333E-2</v>
      </c>
      <c r="D23" s="40">
        <f t="shared" si="1"/>
        <v>12834.626</v>
      </c>
      <c r="E23" s="9">
        <f t="shared" si="2"/>
        <v>5724.7759999999998</v>
      </c>
    </row>
    <row r="24" spans="2:6" x14ac:dyDescent="0.2">
      <c r="B24" s="34">
        <v>6</v>
      </c>
      <c r="C24" s="39">
        <f t="shared" si="0"/>
        <v>0.04</v>
      </c>
      <c r="D24" s="40">
        <f t="shared" si="1"/>
        <v>14909.247599999999</v>
      </c>
      <c r="E24" s="9">
        <f t="shared" si="2"/>
        <v>7720.0099999999984</v>
      </c>
    </row>
    <row r="25" spans="2:6" x14ac:dyDescent="0.2">
      <c r="B25" s="34">
        <v>7</v>
      </c>
      <c r="C25" s="39">
        <f t="shared" ref="C25:C82" si="3">B25/$B$168</f>
        <v>4.6666666666666669E-2</v>
      </c>
      <c r="D25" s="40">
        <f t="shared" si="1"/>
        <v>16833.208200000001</v>
      </c>
      <c r="E25" s="9">
        <f t="shared" si="2"/>
        <v>9533.6320000000014</v>
      </c>
    </row>
    <row r="26" spans="2:6" x14ac:dyDescent="0.2">
      <c r="B26" s="34">
        <v>8</v>
      </c>
      <c r="C26" s="39">
        <f t="shared" si="3"/>
        <v>5.3333333333333337E-2</v>
      </c>
      <c r="D26" s="40">
        <f t="shared" si="1"/>
        <v>18611.440399999999</v>
      </c>
      <c r="E26" s="9">
        <f t="shared" si="2"/>
        <v>11165.642</v>
      </c>
    </row>
    <row r="27" spans="2:6" x14ac:dyDescent="0.2">
      <c r="B27" s="34">
        <v>9</v>
      </c>
      <c r="C27" s="39">
        <f t="shared" si="3"/>
        <v>0.06</v>
      </c>
      <c r="D27" s="40">
        <f t="shared" si="1"/>
        <v>20248.811999999998</v>
      </c>
      <c r="E27" s="9">
        <f t="shared" si="2"/>
        <v>12616.039999999997</v>
      </c>
    </row>
    <row r="28" spans="2:6" x14ac:dyDescent="0.2">
      <c r="B28" s="34">
        <v>10</v>
      </c>
      <c r="C28" s="39">
        <f t="shared" si="3"/>
        <v>6.6666666666666666E-2</v>
      </c>
      <c r="D28" s="40">
        <f t="shared" si="1"/>
        <v>21750.126</v>
      </c>
      <c r="E28" s="9">
        <f t="shared" si="2"/>
        <v>13884.825999999999</v>
      </c>
    </row>
    <row r="29" spans="2:6" x14ac:dyDescent="0.2">
      <c r="B29" s="34">
        <v>11</v>
      </c>
      <c r="C29" s="39">
        <f t="shared" si="3"/>
        <v>7.3333333333333334E-2</v>
      </c>
      <c r="D29" s="40">
        <f t="shared" si="1"/>
        <v>23120.120600000002</v>
      </c>
      <c r="E29" s="9">
        <f t="shared" si="2"/>
        <v>14971.999999999998</v>
      </c>
    </row>
    <row r="30" spans="2:6" x14ac:dyDescent="0.2">
      <c r="B30" s="34">
        <v>12</v>
      </c>
      <c r="C30" s="39">
        <f t="shared" si="3"/>
        <v>0.08</v>
      </c>
      <c r="D30" s="40">
        <f t="shared" si="1"/>
        <v>24363.4692</v>
      </c>
      <c r="E30" s="9">
        <f t="shared" si="2"/>
        <v>15877.561999999996</v>
      </c>
    </row>
    <row r="31" spans="2:6" x14ac:dyDescent="0.2">
      <c r="B31" s="34">
        <v>13</v>
      </c>
      <c r="C31" s="39">
        <f t="shared" si="3"/>
        <v>8.666666666666667E-2</v>
      </c>
      <c r="D31" s="40">
        <f t="shared" si="1"/>
        <v>25484.780399999996</v>
      </c>
      <c r="E31" s="9">
        <f t="shared" si="2"/>
        <v>16601.511999999995</v>
      </c>
    </row>
    <row r="32" spans="2:6" x14ac:dyDescent="0.2">
      <c r="B32" s="34">
        <v>14</v>
      </c>
      <c r="C32" s="39">
        <f t="shared" si="3"/>
        <v>9.3333333333333338E-2</v>
      </c>
      <c r="D32" s="40">
        <f t="shared" si="1"/>
        <v>26488.598000000002</v>
      </c>
      <c r="E32" s="9">
        <f t="shared" si="2"/>
        <v>17143.850000000002</v>
      </c>
    </row>
    <row r="33" spans="2:5" x14ac:dyDescent="0.2">
      <c r="B33" s="34">
        <v>15</v>
      </c>
      <c r="C33" s="39">
        <f t="shared" si="3"/>
        <v>0.1</v>
      </c>
      <c r="D33" s="40">
        <f t="shared" si="1"/>
        <v>27379.401000000002</v>
      </c>
      <c r="E33" s="9">
        <f t="shared" si="2"/>
        <v>17504.576000000001</v>
      </c>
    </row>
    <row r="34" spans="2:5" x14ac:dyDescent="0.2">
      <c r="B34" s="34">
        <v>16</v>
      </c>
      <c r="C34" s="39">
        <f t="shared" si="3"/>
        <v>0.10666666666666667</v>
      </c>
      <c r="D34" s="40">
        <f t="shared" si="1"/>
        <v>28161.603599999999</v>
      </c>
      <c r="E34" s="9">
        <f t="shared" si="2"/>
        <v>17683.689999999999</v>
      </c>
    </row>
    <row r="35" spans="2:5" x14ac:dyDescent="0.2">
      <c r="B35" s="34">
        <v>17</v>
      </c>
      <c r="C35" s="39">
        <f t="shared" si="3"/>
        <v>0.11333333333333333</v>
      </c>
      <c r="D35" s="40">
        <f t="shared" si="1"/>
        <v>28839.555199999999</v>
      </c>
      <c r="E35" s="9">
        <f t="shared" si="2"/>
        <v>17681.191999999999</v>
      </c>
    </row>
    <row r="36" spans="2:5" x14ac:dyDescent="0.2">
      <c r="B36" s="34">
        <v>18</v>
      </c>
      <c r="C36" s="39">
        <f t="shared" si="3"/>
        <v>0.12</v>
      </c>
      <c r="D36" s="40">
        <f t="shared" si="1"/>
        <v>29417.540399999994</v>
      </c>
      <c r="E36" s="9">
        <f t="shared" si="2"/>
        <v>17497.081999999995</v>
      </c>
    </row>
    <row r="37" spans="2:5" x14ac:dyDescent="0.2">
      <c r="B37" s="34">
        <v>19</v>
      </c>
      <c r="C37" s="39">
        <f t="shared" si="3"/>
        <v>0.12666666666666668</v>
      </c>
      <c r="D37" s="40">
        <f t="shared" si="1"/>
        <v>29899.779000000002</v>
      </c>
      <c r="E37" s="9">
        <f t="shared" si="2"/>
        <v>17131.36</v>
      </c>
    </row>
    <row r="38" spans="2:5" x14ac:dyDescent="0.2">
      <c r="B38" s="34">
        <v>20</v>
      </c>
      <c r="C38" s="39">
        <f t="shared" si="3"/>
        <v>0.13333333333333333</v>
      </c>
      <c r="D38" s="40">
        <f t="shared" si="1"/>
        <v>30290.425999999999</v>
      </c>
      <c r="E38" s="9">
        <f t="shared" si="2"/>
        <v>16584.025999999998</v>
      </c>
    </row>
    <row r="39" spans="2:5" x14ac:dyDescent="0.2">
      <c r="B39" s="34">
        <v>21</v>
      </c>
      <c r="C39" s="39">
        <f t="shared" si="3"/>
        <v>0.14000000000000001</v>
      </c>
      <c r="D39" s="40">
        <f t="shared" si="1"/>
        <v>30593.571600000003</v>
      </c>
      <c r="E39" s="9">
        <f t="shared" si="2"/>
        <v>15855.080000000002</v>
      </c>
    </row>
    <row r="40" spans="2:5" x14ac:dyDescent="0.2">
      <c r="B40" s="34">
        <v>22</v>
      </c>
      <c r="C40" s="39">
        <f t="shared" si="3"/>
        <v>0.14666666666666667</v>
      </c>
      <c r="D40" s="40">
        <f t="shared" si="1"/>
        <v>30813.241200000004</v>
      </c>
      <c r="E40" s="9">
        <f t="shared" si="2"/>
        <v>14944.521999999997</v>
      </c>
    </row>
    <row r="41" spans="2:5" x14ac:dyDescent="0.2">
      <c r="B41" s="34">
        <v>23</v>
      </c>
      <c r="C41" s="39">
        <f t="shared" si="3"/>
        <v>0.15333333333333332</v>
      </c>
      <c r="D41" s="40">
        <f t="shared" si="1"/>
        <v>30953.395400000012</v>
      </c>
      <c r="E41" s="9">
        <f t="shared" si="2"/>
        <v>13852.352000000006</v>
      </c>
    </row>
    <row r="42" spans="2:5" x14ac:dyDescent="0.2">
      <c r="B42" s="34">
        <v>24</v>
      </c>
      <c r="C42" s="39">
        <f t="shared" si="3"/>
        <v>0.16</v>
      </c>
      <c r="D42" s="40">
        <f t="shared" si="1"/>
        <v>31017.93</v>
      </c>
      <c r="E42" s="9">
        <f t="shared" si="2"/>
        <v>12578.569999999992</v>
      </c>
    </row>
    <row r="43" spans="2:5" x14ac:dyDescent="0.2">
      <c r="B43" s="34">
        <v>25</v>
      </c>
      <c r="C43" s="39">
        <f t="shared" si="3"/>
        <v>0.16666666666666666</v>
      </c>
      <c r="D43" s="40">
        <f t="shared" si="1"/>
        <v>31010.676000000007</v>
      </c>
      <c r="E43" s="9">
        <f t="shared" si="2"/>
        <v>11123.176000000007</v>
      </c>
    </row>
    <row r="44" spans="2:5" x14ac:dyDescent="0.2">
      <c r="B44" s="34">
        <v>26</v>
      </c>
      <c r="C44" s="39">
        <f t="shared" si="3"/>
        <v>0.17333333333333334</v>
      </c>
      <c r="D44" s="40">
        <f t="shared" si="1"/>
        <v>30935.399599999997</v>
      </c>
      <c r="E44" s="9">
        <f t="shared" si="2"/>
        <v>9486.1699999999983</v>
      </c>
    </row>
    <row r="45" spans="2:5" x14ac:dyDescent="0.2">
      <c r="B45" s="34">
        <v>27</v>
      </c>
      <c r="C45" s="39">
        <f t="shared" si="3"/>
        <v>0.18</v>
      </c>
      <c r="D45" s="40">
        <f t="shared" si="1"/>
        <v>30795.802200000009</v>
      </c>
      <c r="E45" s="9">
        <f t="shared" si="2"/>
        <v>7667.5520000000106</v>
      </c>
    </row>
    <row r="46" spans="2:5" x14ac:dyDescent="0.2">
      <c r="B46" s="34">
        <v>28</v>
      </c>
      <c r="C46" s="39">
        <f t="shared" si="3"/>
        <v>0.18666666666666668</v>
      </c>
      <c r="D46" s="40">
        <f t="shared" si="1"/>
        <v>30595.520400000016</v>
      </c>
      <c r="E46" s="9">
        <f t="shared" si="2"/>
        <v>5667.3220000000147</v>
      </c>
    </row>
    <row r="47" spans="2:5" x14ac:dyDescent="0.2">
      <c r="B47" s="34">
        <v>29</v>
      </c>
      <c r="C47" s="39">
        <f t="shared" si="3"/>
        <v>0.19333333333333333</v>
      </c>
      <c r="D47" s="40">
        <f t="shared" si="1"/>
        <v>30338.125999999997</v>
      </c>
      <c r="E47" s="9">
        <f t="shared" si="2"/>
        <v>3485.4799999999959</v>
      </c>
    </row>
    <row r="48" spans="2:5" x14ac:dyDescent="0.2">
      <c r="B48" s="34">
        <v>30</v>
      </c>
      <c r="C48" s="39">
        <f t="shared" si="3"/>
        <v>0.2</v>
      </c>
      <c r="D48" s="40">
        <f t="shared" si="1"/>
        <v>30027.126000000011</v>
      </c>
      <c r="E48" s="9">
        <f t="shared" si="2"/>
        <v>1122.0260000000126</v>
      </c>
    </row>
    <row r="49" spans="2:5" x14ac:dyDescent="0.2">
      <c r="B49" s="34">
        <v>31</v>
      </c>
      <c r="C49" s="39">
        <f t="shared" si="3"/>
        <v>0.20666666666666667</v>
      </c>
      <c r="D49" s="40">
        <f t="shared" si="1"/>
        <v>29665.962600000006</v>
      </c>
      <c r="E49" s="9">
        <f t="shared" si="2"/>
        <v>-1423.0399999999936</v>
      </c>
    </row>
    <row r="50" spans="2:5" x14ac:dyDescent="0.2">
      <c r="B50" s="34">
        <v>32</v>
      </c>
      <c r="C50" s="39">
        <f t="shared" si="3"/>
        <v>0.21333333333333335</v>
      </c>
      <c r="D50" s="40">
        <f t="shared" si="1"/>
        <v>29258.013200000005</v>
      </c>
      <c r="E50" s="9">
        <f t="shared" si="2"/>
        <v>-4149.7179999999935</v>
      </c>
    </row>
    <row r="51" spans="2:5" x14ac:dyDescent="0.2">
      <c r="B51" s="34">
        <v>33</v>
      </c>
      <c r="C51" s="39">
        <f t="shared" si="3"/>
        <v>0.22</v>
      </c>
      <c r="D51" s="40">
        <f t="shared" si="1"/>
        <v>28806.590400000012</v>
      </c>
      <c r="E51" s="9">
        <f t="shared" si="2"/>
        <v>-7058.0079999999871</v>
      </c>
    </row>
    <row r="52" spans="2:5" x14ac:dyDescent="0.2">
      <c r="B52" s="34">
        <v>34</v>
      </c>
      <c r="C52" s="39">
        <f t="shared" si="3"/>
        <v>0.22666666666666666</v>
      </c>
      <c r="D52" s="40">
        <f t="shared" si="1"/>
        <v>28314.94200000001</v>
      </c>
      <c r="E52" s="9">
        <f t="shared" si="2"/>
        <v>-10147.909999999989</v>
      </c>
    </row>
    <row r="53" spans="2:5" x14ac:dyDescent="0.2">
      <c r="B53" s="34">
        <v>35</v>
      </c>
      <c r="C53" s="39">
        <f t="shared" si="3"/>
        <v>0.23333333333333334</v>
      </c>
      <c r="D53" s="40">
        <f t="shared" si="1"/>
        <v>27786.251000000011</v>
      </c>
      <c r="E53" s="9">
        <f t="shared" si="2"/>
        <v>-13419.423999999985</v>
      </c>
    </row>
    <row r="54" spans="2:5" x14ac:dyDescent="0.2">
      <c r="B54" s="34">
        <v>36</v>
      </c>
      <c r="C54" s="39">
        <f t="shared" si="3"/>
        <v>0.24</v>
      </c>
      <c r="D54" s="40">
        <f t="shared" si="1"/>
        <v>27223.635600000001</v>
      </c>
      <c r="E54" s="9">
        <f t="shared" si="2"/>
        <v>-16872.550000000003</v>
      </c>
    </row>
    <row r="55" spans="2:5" x14ac:dyDescent="0.2">
      <c r="B55" s="34">
        <v>37</v>
      </c>
      <c r="C55" s="39">
        <f t="shared" si="3"/>
        <v>0.24666666666666667</v>
      </c>
      <c r="D55" s="40">
        <f t="shared" si="1"/>
        <v>26630.149200000014</v>
      </c>
      <c r="E55" s="9">
        <f t="shared" si="2"/>
        <v>-20507.287999999986</v>
      </c>
    </row>
    <row r="56" spans="2:5" x14ac:dyDescent="0.2">
      <c r="B56" s="34">
        <v>38</v>
      </c>
      <c r="C56" s="39">
        <f t="shared" si="3"/>
        <v>0.25333333333333335</v>
      </c>
      <c r="D56" s="40">
        <f t="shared" si="1"/>
        <v>26008.780400000003</v>
      </c>
      <c r="E56" s="9">
        <f t="shared" si="2"/>
        <v>-24323.637999999992</v>
      </c>
    </row>
    <row r="57" spans="2:5" x14ac:dyDescent="0.2">
      <c r="B57" s="34">
        <v>39</v>
      </c>
      <c r="C57" s="39">
        <f t="shared" si="3"/>
        <v>0.26</v>
      </c>
      <c r="D57" s="40">
        <f t="shared" si="1"/>
        <v>25362.45299999999</v>
      </c>
      <c r="E57" s="9">
        <f t="shared" si="2"/>
        <v>-28321.600000000006</v>
      </c>
    </row>
    <row r="58" spans="2:5" x14ac:dyDescent="0.2">
      <c r="B58" s="34">
        <v>40</v>
      </c>
      <c r="C58" s="39">
        <f t="shared" si="3"/>
        <v>0.26666666666666666</v>
      </c>
      <c r="D58" s="40">
        <f t="shared" si="1"/>
        <v>24694.025999999998</v>
      </c>
      <c r="E58" s="9">
        <f t="shared" si="2"/>
        <v>-32501.173999999999</v>
      </c>
    </row>
    <row r="59" spans="2:5" x14ac:dyDescent="0.2">
      <c r="B59" s="34">
        <v>41</v>
      </c>
      <c r="C59" s="39">
        <f t="shared" si="3"/>
        <v>0.27333333333333332</v>
      </c>
      <c r="D59" s="40">
        <f t="shared" si="1"/>
        <v>24006.293599999997</v>
      </c>
      <c r="E59" s="9">
        <f t="shared" si="2"/>
        <v>-36862.36</v>
      </c>
    </row>
    <row r="60" spans="2:5" x14ac:dyDescent="0.2">
      <c r="B60" s="34">
        <v>42</v>
      </c>
      <c r="C60" s="39">
        <f t="shared" si="3"/>
        <v>0.28000000000000003</v>
      </c>
      <c r="D60" s="40">
        <f t="shared" si="1"/>
        <v>23301.985200000017</v>
      </c>
      <c r="E60" s="9">
        <f t="shared" si="2"/>
        <v>-41405.157999999981</v>
      </c>
    </row>
    <row r="61" spans="2:5" x14ac:dyDescent="0.2">
      <c r="B61" s="34">
        <v>43</v>
      </c>
      <c r="C61" s="39">
        <f t="shared" si="3"/>
        <v>0.28666666666666668</v>
      </c>
      <c r="D61" s="40">
        <f t="shared" si="1"/>
        <v>22583.765400000011</v>
      </c>
      <c r="E61" s="9">
        <f t="shared" si="2"/>
        <v>-46129.567999999985</v>
      </c>
    </row>
    <row r="62" spans="2:5" x14ac:dyDescent="0.2">
      <c r="B62" s="34">
        <v>44</v>
      </c>
      <c r="C62" s="39">
        <f t="shared" si="3"/>
        <v>0.29333333333333333</v>
      </c>
      <c r="D62" s="40">
        <f t="shared" si="1"/>
        <v>21854.234000000004</v>
      </c>
      <c r="E62" s="9">
        <f t="shared" si="2"/>
        <v>-51035.59</v>
      </c>
    </row>
    <row r="63" spans="2:5" x14ac:dyDescent="0.2">
      <c r="B63" s="34">
        <v>45</v>
      </c>
      <c r="C63" s="39">
        <f t="shared" si="3"/>
        <v>0.3</v>
      </c>
      <c r="D63" s="40">
        <f t="shared" si="1"/>
        <v>21115.926000000007</v>
      </c>
      <c r="E63" s="9">
        <f t="shared" si="2"/>
        <v>-56123.223999999987</v>
      </c>
    </row>
    <row r="64" spans="2:5" x14ac:dyDescent="0.2">
      <c r="B64" s="34">
        <v>46</v>
      </c>
      <c r="C64" s="39">
        <f t="shared" si="3"/>
        <v>0.30666666666666664</v>
      </c>
      <c r="D64" s="40">
        <f t="shared" si="1"/>
        <v>20371.311600000034</v>
      </c>
      <c r="E64" s="9">
        <f t="shared" si="2"/>
        <v>-61392.469999999972</v>
      </c>
    </row>
    <row r="65" spans="2:5" x14ac:dyDescent="0.2">
      <c r="B65" s="34">
        <v>47</v>
      </c>
      <c r="C65" s="39">
        <f t="shared" si="3"/>
        <v>0.31333333333333335</v>
      </c>
      <c r="D65" s="40">
        <f t="shared" si="1"/>
        <v>19622.79619999999</v>
      </c>
      <c r="E65" s="9">
        <f t="shared" si="2"/>
        <v>-66843.328000000009</v>
      </c>
    </row>
    <row r="66" spans="2:5" x14ac:dyDescent="0.2">
      <c r="B66" s="34">
        <v>48</v>
      </c>
      <c r="C66" s="39">
        <f t="shared" si="3"/>
        <v>0.32</v>
      </c>
      <c r="D66" s="40">
        <f t="shared" si="1"/>
        <v>18872.720399999984</v>
      </c>
      <c r="E66" s="9">
        <f t="shared" si="2"/>
        <v>-72475.79800000001</v>
      </c>
    </row>
    <row r="67" spans="2:5" x14ac:dyDescent="0.2">
      <c r="B67" s="34">
        <v>49</v>
      </c>
      <c r="C67" s="39">
        <f t="shared" si="3"/>
        <v>0.32666666666666666</v>
      </c>
      <c r="D67" s="40">
        <f t="shared" si="1"/>
        <v>18123.35999999999</v>
      </c>
      <c r="E67" s="9">
        <f t="shared" si="2"/>
        <v>-78289.88</v>
      </c>
    </row>
    <row r="68" spans="2:5" x14ac:dyDescent="0.2">
      <c r="B68" s="34">
        <v>50</v>
      </c>
      <c r="C68" s="39">
        <f t="shared" si="3"/>
        <v>0.33333333333333331</v>
      </c>
      <c r="D68" s="40">
        <f t="shared" si="1"/>
        <v>17376.926000000007</v>
      </c>
      <c r="E68" s="9">
        <f t="shared" si="2"/>
        <v>-84285.573999999993</v>
      </c>
    </row>
    <row r="69" spans="2:5" x14ac:dyDescent="0.2">
      <c r="B69" s="34">
        <v>51</v>
      </c>
      <c r="C69" s="39">
        <f t="shared" si="3"/>
        <v>0.34</v>
      </c>
      <c r="D69" s="40">
        <f t="shared" si="1"/>
        <v>16635.564600000016</v>
      </c>
      <c r="E69" s="9">
        <f t="shared" si="2"/>
        <v>-90462.879999999976</v>
      </c>
    </row>
    <row r="70" spans="2:5" x14ac:dyDescent="0.2">
      <c r="B70" s="34">
        <v>52</v>
      </c>
      <c r="C70" s="39">
        <f t="shared" si="3"/>
        <v>0.34666666666666668</v>
      </c>
      <c r="D70" s="40">
        <f t="shared" si="1"/>
        <v>15901.357199999991</v>
      </c>
      <c r="E70" s="9">
        <f t="shared" si="2"/>
        <v>-96821.79800000001</v>
      </c>
    </row>
    <row r="71" spans="2:5" x14ac:dyDescent="0.2">
      <c r="B71" s="34">
        <v>53</v>
      </c>
      <c r="C71" s="39">
        <f t="shared" si="3"/>
        <v>0.35333333333333333</v>
      </c>
      <c r="D71" s="40">
        <f t="shared" si="1"/>
        <v>15176.320399999982</v>
      </c>
      <c r="E71" s="9">
        <f t="shared" si="2"/>
        <v>-103362.32800000001</v>
      </c>
    </row>
    <row r="72" spans="2:5" x14ac:dyDescent="0.2">
      <c r="B72" s="34">
        <v>54</v>
      </c>
      <c r="C72" s="39">
        <f t="shared" si="3"/>
        <v>0.36</v>
      </c>
      <c r="D72" s="40">
        <f t="shared" si="1"/>
        <v>14462.406000000014</v>
      </c>
      <c r="E72" s="9">
        <f t="shared" si="2"/>
        <v>-110084.46999999997</v>
      </c>
    </row>
    <row r="73" spans="2:5" x14ac:dyDescent="0.2">
      <c r="B73" s="34">
        <v>55</v>
      </c>
      <c r="C73" s="39">
        <f t="shared" si="3"/>
        <v>0.36666666666666664</v>
      </c>
      <c r="D73" s="40">
        <f t="shared" si="1"/>
        <v>13761.501000000047</v>
      </c>
      <c r="E73" s="9">
        <f t="shared" si="2"/>
        <v>-116988.22399999996</v>
      </c>
    </row>
    <row r="74" spans="2:5" x14ac:dyDescent="0.2">
      <c r="B74" s="34">
        <v>56</v>
      </c>
      <c r="C74" s="39">
        <f t="shared" si="3"/>
        <v>0.37333333333333335</v>
      </c>
      <c r="D74" s="40">
        <f t="shared" si="1"/>
        <v>13075.427600000028</v>
      </c>
      <c r="E74" s="9">
        <f t="shared" si="2"/>
        <v>-124073.58999999997</v>
      </c>
    </row>
    <row r="75" spans="2:5" x14ac:dyDescent="0.2">
      <c r="B75" s="34">
        <v>57</v>
      </c>
      <c r="C75" s="39">
        <f t="shared" si="3"/>
        <v>0.38</v>
      </c>
      <c r="D75" s="40">
        <f t="shared" si="1"/>
        <v>12405.943199999972</v>
      </c>
      <c r="E75" s="9">
        <f t="shared" si="2"/>
        <v>-131340.56800000003</v>
      </c>
    </row>
    <row r="76" spans="2:5" x14ac:dyDescent="0.2">
      <c r="B76" s="34">
        <v>58</v>
      </c>
      <c r="C76" s="39">
        <f t="shared" si="3"/>
        <v>0.38666666666666666</v>
      </c>
      <c r="D76" s="40">
        <f t="shared" si="1"/>
        <v>11754.740399999977</v>
      </c>
      <c r="E76" s="9">
        <f t="shared" si="2"/>
        <v>-138789.15800000002</v>
      </c>
    </row>
    <row r="77" spans="2:5" x14ac:dyDescent="0.2">
      <c r="B77" s="34">
        <v>59</v>
      </c>
      <c r="C77" s="39">
        <f t="shared" si="3"/>
        <v>0.39333333333333331</v>
      </c>
      <c r="D77" s="40">
        <f t="shared" si="1"/>
        <v>11123.447</v>
      </c>
      <c r="E77" s="9">
        <f t="shared" si="2"/>
        <v>-146419.35999999999</v>
      </c>
    </row>
    <row r="78" spans="2:5" x14ac:dyDescent="0.2">
      <c r="B78" s="34">
        <v>60</v>
      </c>
      <c r="C78" s="39">
        <f t="shared" si="3"/>
        <v>0.4</v>
      </c>
      <c r="D78" s="40">
        <f t="shared" si="1"/>
        <v>10513.626000000018</v>
      </c>
      <c r="E78" s="9">
        <f t="shared" si="2"/>
        <v>-154231.17399999997</v>
      </c>
    </row>
    <row r="79" spans="2:5" x14ac:dyDescent="0.2">
      <c r="B79" s="34">
        <v>61</v>
      </c>
      <c r="C79" s="39">
        <f t="shared" si="3"/>
        <v>0.40666666666666668</v>
      </c>
      <c r="D79" s="40">
        <f t="shared" si="1"/>
        <v>9926.7756000000154</v>
      </c>
      <c r="E79" s="9">
        <f t="shared" si="2"/>
        <v>-162224.59999999998</v>
      </c>
    </row>
    <row r="80" spans="2:5" x14ac:dyDescent="0.2">
      <c r="B80" s="34">
        <v>62</v>
      </c>
      <c r="C80" s="39">
        <f t="shared" si="3"/>
        <v>0.41333333333333333</v>
      </c>
      <c r="D80" s="40">
        <f t="shared" si="1"/>
        <v>9364.3292000000074</v>
      </c>
      <c r="E80" s="9">
        <f t="shared" si="2"/>
        <v>-170399.63799999998</v>
      </c>
    </row>
    <row r="81" spans="2:5" x14ac:dyDescent="0.2">
      <c r="B81" s="34">
        <v>63</v>
      </c>
      <c r="C81" s="39">
        <f t="shared" si="3"/>
        <v>0.42</v>
      </c>
      <c r="D81" s="40">
        <f t="shared" si="1"/>
        <v>8827.6554000000251</v>
      </c>
      <c r="E81" s="9">
        <f t="shared" si="2"/>
        <v>-178756.28799999997</v>
      </c>
    </row>
    <row r="82" spans="2:5" x14ac:dyDescent="0.2">
      <c r="B82" s="34">
        <v>64</v>
      </c>
      <c r="C82" s="39">
        <f t="shared" si="3"/>
        <v>0.42666666666666669</v>
      </c>
      <c r="D82" s="40">
        <f t="shared" si="1"/>
        <v>8318.0580000000045</v>
      </c>
      <c r="E82" s="9">
        <f t="shared" si="2"/>
        <v>-187294.55</v>
      </c>
    </row>
    <row r="83" spans="2:5" x14ac:dyDescent="0.2">
      <c r="B83" s="34">
        <v>65</v>
      </c>
      <c r="C83" s="39">
        <f t="shared" ref="C83:C146" si="4">B83/$B$168</f>
        <v>0.43333333333333335</v>
      </c>
      <c r="D83" s="40">
        <f t="shared" ref="D83:D146" si="5">$E$3+$E$4*B83+E$5*B83^2+$E$6*B83^3+$E$7*B83^4</f>
        <v>7836.7760000000126</v>
      </c>
      <c r="E83" s="9">
        <f t="shared" ref="E83:E146" si="6">$F$3+$F$4*B83+$F$5*B83^2</f>
        <v>-196014.42399999997</v>
      </c>
    </row>
    <row r="84" spans="2:5" x14ac:dyDescent="0.2">
      <c r="B84" s="34">
        <v>66</v>
      </c>
      <c r="C84" s="39">
        <f t="shared" si="4"/>
        <v>0.44</v>
      </c>
      <c r="D84" s="40">
        <f t="shared" si="5"/>
        <v>7384.9836000000214</v>
      </c>
      <c r="E84" s="9">
        <f t="shared" si="6"/>
        <v>-204915.90999999997</v>
      </c>
    </row>
    <row r="85" spans="2:5" x14ac:dyDescent="0.2">
      <c r="B85" s="34">
        <v>67</v>
      </c>
      <c r="C85" s="39">
        <f t="shared" si="4"/>
        <v>0.44666666666666666</v>
      </c>
      <c r="D85" s="40">
        <f t="shared" si="5"/>
        <v>6963.7902000000322</v>
      </c>
      <c r="E85" s="9">
        <f t="shared" si="6"/>
        <v>-213999.00799999997</v>
      </c>
    </row>
    <row r="86" spans="2:5" x14ac:dyDescent="0.2">
      <c r="B86" s="34">
        <v>68</v>
      </c>
      <c r="C86" s="39">
        <f t="shared" si="4"/>
        <v>0.45333333333333331</v>
      </c>
      <c r="D86" s="40">
        <f t="shared" si="5"/>
        <v>6574.2404000000097</v>
      </c>
      <c r="E86" s="9">
        <f t="shared" si="6"/>
        <v>-223263.71799999996</v>
      </c>
    </row>
    <row r="87" spans="2:5" x14ac:dyDescent="0.2">
      <c r="B87" s="34">
        <v>69</v>
      </c>
      <c r="C87" s="39">
        <f t="shared" si="4"/>
        <v>0.46</v>
      </c>
      <c r="D87" s="40">
        <f t="shared" si="5"/>
        <v>6217.3140000000058</v>
      </c>
      <c r="E87" s="9">
        <f t="shared" si="6"/>
        <v>-232710.03999999998</v>
      </c>
    </row>
    <row r="88" spans="2:5" x14ac:dyDescent="0.2">
      <c r="B88" s="34">
        <v>70</v>
      </c>
      <c r="C88" s="39">
        <f t="shared" si="4"/>
        <v>0.46666666666666667</v>
      </c>
      <c r="D88" s="40">
        <f t="shared" si="5"/>
        <v>5893.9260000000068</v>
      </c>
      <c r="E88" s="9">
        <f t="shared" si="6"/>
        <v>-242337.97399999996</v>
      </c>
    </row>
    <row r="89" spans="2:5" x14ac:dyDescent="0.2">
      <c r="B89" s="34">
        <v>71</v>
      </c>
      <c r="C89" s="39">
        <f t="shared" si="4"/>
        <v>0.47333333333333333</v>
      </c>
      <c r="D89" s="40">
        <f t="shared" si="5"/>
        <v>5604.9266000000353</v>
      </c>
      <c r="E89" s="9">
        <f t="shared" si="6"/>
        <v>-252147.51999999996</v>
      </c>
    </row>
    <row r="90" spans="2:5" x14ac:dyDescent="0.2">
      <c r="B90" s="34">
        <v>72</v>
      </c>
      <c r="C90" s="39">
        <f t="shared" si="4"/>
        <v>0.48</v>
      </c>
      <c r="D90" s="40">
        <f t="shared" si="5"/>
        <v>5351.1012000000046</v>
      </c>
      <c r="E90" s="9">
        <f t="shared" si="6"/>
        <v>-262138.67800000001</v>
      </c>
    </row>
    <row r="91" spans="2:5" x14ac:dyDescent="0.2">
      <c r="B91" s="34">
        <v>73</v>
      </c>
      <c r="C91" s="39">
        <f t="shared" si="4"/>
        <v>0.48666666666666669</v>
      </c>
      <c r="D91" s="40">
        <f t="shared" si="5"/>
        <v>5133.1704000000318</v>
      </c>
      <c r="E91" s="9">
        <f t="shared" si="6"/>
        <v>-272311.44799999997</v>
      </c>
    </row>
    <row r="92" spans="2:5" x14ac:dyDescent="0.2">
      <c r="B92" s="34">
        <v>74</v>
      </c>
      <c r="C92" s="39">
        <f t="shared" si="4"/>
        <v>0.49333333333333335</v>
      </c>
      <c r="D92" s="40">
        <f t="shared" si="5"/>
        <v>4951.7900000000518</v>
      </c>
      <c r="E92" s="9">
        <f t="shared" si="6"/>
        <v>-282665.82999999996</v>
      </c>
    </row>
    <row r="93" spans="2:5" x14ac:dyDescent="0.2">
      <c r="B93" s="34">
        <v>75</v>
      </c>
      <c r="C93" s="39">
        <f t="shared" si="4"/>
        <v>0.5</v>
      </c>
      <c r="D93" s="40">
        <f t="shared" si="5"/>
        <v>4807.5509999999776</v>
      </c>
      <c r="E93" s="9">
        <f t="shared" si="6"/>
        <v>-293201.82400000002</v>
      </c>
    </row>
    <row r="94" spans="2:5" x14ac:dyDescent="0.2">
      <c r="B94" s="34">
        <v>76</v>
      </c>
      <c r="C94" s="39">
        <f t="shared" si="4"/>
        <v>0.50666666666666671</v>
      </c>
      <c r="D94" s="40">
        <f t="shared" si="5"/>
        <v>4700.9795999999624</v>
      </c>
      <c r="E94" s="9">
        <f t="shared" si="6"/>
        <v>-303919.43</v>
      </c>
    </row>
    <row r="95" spans="2:5" x14ac:dyDescent="0.2">
      <c r="B95" s="34">
        <v>77</v>
      </c>
      <c r="C95" s="39">
        <f t="shared" si="4"/>
        <v>0.51333333333333331</v>
      </c>
      <c r="D95" s="40">
        <f t="shared" si="5"/>
        <v>4632.5372000000061</v>
      </c>
      <c r="E95" s="9">
        <f t="shared" si="6"/>
        <v>-314818.64799999999</v>
      </c>
    </row>
    <row r="96" spans="2:5" x14ac:dyDescent="0.2">
      <c r="B96" s="34">
        <v>78</v>
      </c>
      <c r="C96" s="39">
        <f t="shared" si="4"/>
        <v>0.52</v>
      </c>
      <c r="D96" s="40">
        <f t="shared" si="5"/>
        <v>4602.6203999999707</v>
      </c>
      <c r="E96" s="9">
        <f t="shared" si="6"/>
        <v>-325899.478</v>
      </c>
    </row>
    <row r="97" spans="2:5" x14ac:dyDescent="0.2">
      <c r="B97" s="34">
        <v>79</v>
      </c>
      <c r="C97" s="39">
        <f t="shared" si="4"/>
        <v>0.52666666666666662</v>
      </c>
      <c r="D97" s="40">
        <f t="shared" si="5"/>
        <v>4611.5610000000597</v>
      </c>
      <c r="E97" s="9">
        <f t="shared" si="6"/>
        <v>-337161.91999999993</v>
      </c>
    </row>
    <row r="98" spans="2:5" x14ac:dyDescent="0.2">
      <c r="B98" s="34">
        <v>80</v>
      </c>
      <c r="C98" s="39">
        <f t="shared" si="4"/>
        <v>0.53333333333333333</v>
      </c>
      <c r="D98" s="40">
        <f t="shared" si="5"/>
        <v>4659.6259999999311</v>
      </c>
      <c r="E98" s="9">
        <f t="shared" si="6"/>
        <v>-348605.97400000005</v>
      </c>
    </row>
    <row r="99" spans="2:5" x14ac:dyDescent="0.2">
      <c r="B99" s="34">
        <v>81</v>
      </c>
      <c r="C99" s="39">
        <f t="shared" si="4"/>
        <v>0.54</v>
      </c>
      <c r="D99" s="40">
        <f t="shared" si="5"/>
        <v>4747.0176000000502</v>
      </c>
      <c r="E99" s="9">
        <f t="shared" si="6"/>
        <v>-360231.63999999996</v>
      </c>
    </row>
    <row r="100" spans="2:5" x14ac:dyDescent="0.2">
      <c r="B100" s="34">
        <v>82</v>
      </c>
      <c r="C100" s="39">
        <f t="shared" si="4"/>
        <v>0.54666666666666663</v>
      </c>
      <c r="D100" s="40">
        <f t="shared" si="5"/>
        <v>4873.8731999999727</v>
      </c>
      <c r="E100" s="9">
        <f t="shared" si="6"/>
        <v>-372038.91800000001</v>
      </c>
    </row>
    <row r="101" spans="2:5" x14ac:dyDescent="0.2">
      <c r="B101" s="34">
        <v>83</v>
      </c>
      <c r="C101" s="39">
        <f t="shared" si="4"/>
        <v>0.55333333333333334</v>
      </c>
      <c r="D101" s="40">
        <f t="shared" si="5"/>
        <v>5040.2654000000184</v>
      </c>
      <c r="E101" s="9">
        <f t="shared" si="6"/>
        <v>-384027.80799999996</v>
      </c>
    </row>
    <row r="102" spans="2:5" x14ac:dyDescent="0.2">
      <c r="B102" s="34">
        <v>84</v>
      </c>
      <c r="C102" s="39">
        <f t="shared" si="4"/>
        <v>0.56000000000000005</v>
      </c>
      <c r="D102" s="40">
        <f t="shared" si="5"/>
        <v>5246.2020000000484</v>
      </c>
      <c r="E102" s="9">
        <f t="shared" si="6"/>
        <v>-396198.30999999994</v>
      </c>
    </row>
    <row r="103" spans="2:5" x14ac:dyDescent="0.2">
      <c r="B103" s="34">
        <v>85</v>
      </c>
      <c r="C103" s="39">
        <f t="shared" si="4"/>
        <v>0.56666666666666665</v>
      </c>
      <c r="D103" s="40">
        <f t="shared" si="5"/>
        <v>5491.6260000000475</v>
      </c>
      <c r="E103" s="9">
        <f t="shared" si="6"/>
        <v>-408550.424</v>
      </c>
    </row>
    <row r="104" spans="2:5" x14ac:dyDescent="0.2">
      <c r="B104" s="34">
        <v>86</v>
      </c>
      <c r="C104" s="39">
        <f t="shared" si="4"/>
        <v>0.57333333333333336</v>
      </c>
      <c r="D104" s="40">
        <f t="shared" si="5"/>
        <v>5776.4155999999784</v>
      </c>
      <c r="E104" s="9">
        <f t="shared" si="6"/>
        <v>-421084.14999999997</v>
      </c>
    </row>
    <row r="105" spans="2:5" x14ac:dyDescent="0.2">
      <c r="B105" s="34">
        <v>87</v>
      </c>
      <c r="C105" s="39">
        <f t="shared" si="4"/>
        <v>0.57999999999999996</v>
      </c>
      <c r="D105" s="40">
        <f t="shared" si="5"/>
        <v>6100.3842000000586</v>
      </c>
      <c r="E105" s="9">
        <f t="shared" si="6"/>
        <v>-433799.48799999995</v>
      </c>
    </row>
    <row r="106" spans="2:5" x14ac:dyDescent="0.2">
      <c r="B106" s="34">
        <v>88</v>
      </c>
      <c r="C106" s="39">
        <f t="shared" si="4"/>
        <v>0.58666666666666667</v>
      </c>
      <c r="D106" s="40">
        <f t="shared" si="5"/>
        <v>6463.2803999999596</v>
      </c>
      <c r="E106" s="9">
        <f t="shared" si="6"/>
        <v>-446696.43799999997</v>
      </c>
    </row>
    <row r="107" spans="2:5" x14ac:dyDescent="0.2">
      <c r="B107" s="34">
        <v>89</v>
      </c>
      <c r="C107" s="39">
        <f t="shared" si="4"/>
        <v>0.59333333333333338</v>
      </c>
      <c r="D107" s="40">
        <f t="shared" si="5"/>
        <v>6864.7879999998841</v>
      </c>
      <c r="E107" s="9">
        <f t="shared" si="6"/>
        <v>-459775</v>
      </c>
    </row>
    <row r="108" spans="2:5" x14ac:dyDescent="0.2">
      <c r="B108" s="34">
        <v>90</v>
      </c>
      <c r="C108" s="39">
        <f t="shared" si="4"/>
        <v>0.6</v>
      </c>
      <c r="D108" s="40">
        <f t="shared" si="5"/>
        <v>7304.5259999999544</v>
      </c>
      <c r="E108" s="9">
        <f t="shared" si="6"/>
        <v>-473035.174</v>
      </c>
    </row>
    <row r="109" spans="2:5" x14ac:dyDescent="0.2">
      <c r="B109" s="34">
        <v>91</v>
      </c>
      <c r="C109" s="39">
        <f t="shared" si="4"/>
        <v>0.60666666666666669</v>
      </c>
      <c r="D109" s="40">
        <f t="shared" si="5"/>
        <v>7782.0485999999219</v>
      </c>
      <c r="E109" s="9">
        <f t="shared" si="6"/>
        <v>-486476.96000000008</v>
      </c>
    </row>
    <row r="110" spans="2:5" x14ac:dyDescent="0.2">
      <c r="B110" s="34">
        <v>92</v>
      </c>
      <c r="C110" s="39">
        <f t="shared" si="4"/>
        <v>0.61333333333333329</v>
      </c>
      <c r="D110" s="40">
        <f t="shared" si="5"/>
        <v>8296.845200000098</v>
      </c>
      <c r="E110" s="9">
        <f t="shared" si="6"/>
        <v>-500100.35799999995</v>
      </c>
    </row>
    <row r="111" spans="2:5" x14ac:dyDescent="0.2">
      <c r="B111" s="34">
        <v>93</v>
      </c>
      <c r="C111" s="39">
        <f t="shared" si="4"/>
        <v>0.62</v>
      </c>
      <c r="D111" s="40">
        <f t="shared" si="5"/>
        <v>8848.3404000000155</v>
      </c>
      <c r="E111" s="9">
        <f t="shared" si="6"/>
        <v>-513905.36799999996</v>
      </c>
    </row>
    <row r="112" spans="2:5" x14ac:dyDescent="0.2">
      <c r="B112" s="34">
        <v>94</v>
      </c>
      <c r="C112" s="39">
        <f t="shared" si="4"/>
        <v>0.62666666666666671</v>
      </c>
      <c r="D112" s="40">
        <f t="shared" si="5"/>
        <v>9435.893999999942</v>
      </c>
      <c r="E112" s="9">
        <f t="shared" si="6"/>
        <v>-527891.99</v>
      </c>
    </row>
    <row r="113" spans="2:5" x14ac:dyDescent="0.2">
      <c r="B113" s="34">
        <v>95</v>
      </c>
      <c r="C113" s="39">
        <f t="shared" si="4"/>
        <v>0.6333333333333333</v>
      </c>
      <c r="D113" s="40">
        <f t="shared" si="5"/>
        <v>10058.800999999978</v>
      </c>
      <c r="E113" s="9">
        <f t="shared" si="6"/>
        <v>-542060.22400000005</v>
      </c>
    </row>
    <row r="114" spans="2:5" x14ac:dyDescent="0.2">
      <c r="B114" s="34">
        <v>96</v>
      </c>
      <c r="C114" s="39">
        <f t="shared" si="4"/>
        <v>0.64</v>
      </c>
      <c r="D114" s="40">
        <f t="shared" si="5"/>
        <v>10716.29159999988</v>
      </c>
      <c r="E114" s="9">
        <f t="shared" si="6"/>
        <v>-556410.07000000007</v>
      </c>
    </row>
    <row r="115" spans="2:5" x14ac:dyDescent="0.2">
      <c r="B115" s="34">
        <v>97</v>
      </c>
      <c r="C115" s="39">
        <f t="shared" si="4"/>
        <v>0.64666666666666661</v>
      </c>
      <c r="D115" s="40">
        <f t="shared" si="5"/>
        <v>11407.531199999998</v>
      </c>
      <c r="E115" s="9">
        <f t="shared" si="6"/>
        <v>-570941.52799999993</v>
      </c>
    </row>
    <row r="116" spans="2:5" x14ac:dyDescent="0.2">
      <c r="B116" s="34">
        <v>98</v>
      </c>
      <c r="C116" s="39">
        <f t="shared" si="4"/>
        <v>0.65333333333333332</v>
      </c>
      <c r="D116" s="40">
        <f t="shared" si="5"/>
        <v>12131.620399999956</v>
      </c>
      <c r="E116" s="9">
        <f t="shared" si="6"/>
        <v>-585654.598</v>
      </c>
    </row>
    <row r="117" spans="2:5" x14ac:dyDescent="0.2">
      <c r="B117" s="34">
        <v>99</v>
      </c>
      <c r="C117" s="39">
        <f t="shared" si="4"/>
        <v>0.66</v>
      </c>
      <c r="D117" s="40">
        <f t="shared" si="5"/>
        <v>12887.594999999943</v>
      </c>
      <c r="E117" s="9">
        <f t="shared" si="6"/>
        <v>-600549.28</v>
      </c>
    </row>
    <row r="118" spans="2:5" x14ac:dyDescent="0.2">
      <c r="B118" s="34">
        <v>100</v>
      </c>
      <c r="C118" s="39">
        <f t="shared" si="4"/>
        <v>0.66666666666666663</v>
      </c>
      <c r="D118" s="40">
        <f t="shared" si="5"/>
        <v>13674.425999999978</v>
      </c>
      <c r="E118" s="9">
        <f t="shared" si="6"/>
        <v>-615625.57400000002</v>
      </c>
    </row>
    <row r="119" spans="2:5" x14ac:dyDescent="0.2">
      <c r="B119" s="34">
        <v>101</v>
      </c>
      <c r="C119" s="39">
        <f t="shared" si="4"/>
        <v>0.67333333333333334</v>
      </c>
      <c r="D119" s="40">
        <f t="shared" si="5"/>
        <v>14491.0196</v>
      </c>
      <c r="E119" s="9">
        <f t="shared" si="6"/>
        <v>-630883.48</v>
      </c>
    </row>
    <row r="120" spans="2:5" x14ac:dyDescent="0.2">
      <c r="B120" s="34">
        <v>102</v>
      </c>
      <c r="C120" s="39">
        <f t="shared" si="4"/>
        <v>0.68</v>
      </c>
      <c r="D120" s="40">
        <f t="shared" si="5"/>
        <v>15336.217200000014</v>
      </c>
      <c r="E120" s="9">
        <f t="shared" si="6"/>
        <v>-646322.99799999991</v>
      </c>
    </row>
    <row r="121" spans="2:5" x14ac:dyDescent="0.2">
      <c r="B121" s="34">
        <v>103</v>
      </c>
      <c r="C121" s="39">
        <f t="shared" si="4"/>
        <v>0.68666666666666665</v>
      </c>
      <c r="D121" s="40">
        <f t="shared" si="5"/>
        <v>16208.795399999944</v>
      </c>
      <c r="E121" s="9">
        <f t="shared" si="6"/>
        <v>-661944.12800000003</v>
      </c>
    </row>
    <row r="122" spans="2:5" x14ac:dyDescent="0.2">
      <c r="B122" s="34">
        <v>104</v>
      </c>
      <c r="C122" s="39">
        <f t="shared" si="4"/>
        <v>0.69333333333333336</v>
      </c>
      <c r="D122" s="40">
        <f t="shared" si="5"/>
        <v>17107.465999999898</v>
      </c>
      <c r="E122" s="9">
        <f t="shared" si="6"/>
        <v>-677746.87000000011</v>
      </c>
    </row>
    <row r="123" spans="2:5" x14ac:dyDescent="0.2">
      <c r="B123" s="34">
        <v>105</v>
      </c>
      <c r="C123" s="39">
        <f t="shared" si="4"/>
        <v>0.7</v>
      </c>
      <c r="D123" s="40">
        <f t="shared" si="5"/>
        <v>18030.875999999931</v>
      </c>
      <c r="E123" s="9">
        <f t="shared" si="6"/>
        <v>-693731.22400000005</v>
      </c>
    </row>
    <row r="124" spans="2:5" x14ac:dyDescent="0.2">
      <c r="B124" s="34">
        <v>106</v>
      </c>
      <c r="C124" s="39">
        <f t="shared" si="4"/>
        <v>0.70666666666666667</v>
      </c>
      <c r="D124" s="40">
        <f t="shared" si="5"/>
        <v>18977.607599999872</v>
      </c>
      <c r="E124" s="9">
        <f t="shared" si="6"/>
        <v>-709897.19000000006</v>
      </c>
    </row>
    <row r="125" spans="2:5" x14ac:dyDescent="0.2">
      <c r="B125" s="34">
        <v>107</v>
      </c>
      <c r="C125" s="39">
        <f t="shared" si="4"/>
        <v>0.71333333333333337</v>
      </c>
      <c r="D125" s="40">
        <f t="shared" si="5"/>
        <v>19946.178199999966</v>
      </c>
      <c r="E125" s="9">
        <f t="shared" si="6"/>
        <v>-726244.76799999992</v>
      </c>
    </row>
    <row r="126" spans="2:5" x14ac:dyDescent="0.2">
      <c r="B126" s="34">
        <v>108</v>
      </c>
      <c r="C126" s="39">
        <f t="shared" si="4"/>
        <v>0.72</v>
      </c>
      <c r="D126" s="40">
        <f t="shared" si="5"/>
        <v>20935.040399999998</v>
      </c>
      <c r="E126" s="9">
        <f t="shared" si="6"/>
        <v>-742773.95799999987</v>
      </c>
    </row>
    <row r="127" spans="2:5" x14ac:dyDescent="0.2">
      <c r="B127" s="34">
        <v>109</v>
      </c>
      <c r="C127" s="39">
        <f t="shared" si="4"/>
        <v>0.72666666666666668</v>
      </c>
      <c r="D127" s="40">
        <f t="shared" si="5"/>
        <v>21942.581999999878</v>
      </c>
      <c r="E127" s="9">
        <f t="shared" si="6"/>
        <v>-759484.76</v>
      </c>
    </row>
    <row r="128" spans="2:5" x14ac:dyDescent="0.2">
      <c r="B128" s="34">
        <v>110</v>
      </c>
      <c r="C128" s="39">
        <f t="shared" si="4"/>
        <v>0.73333333333333328</v>
      </c>
      <c r="D128" s="40">
        <f t="shared" si="5"/>
        <v>22967.126000000164</v>
      </c>
      <c r="E128" s="9">
        <f t="shared" si="6"/>
        <v>-776377.17399999988</v>
      </c>
    </row>
    <row r="129" spans="2:5" x14ac:dyDescent="0.2">
      <c r="B129" s="34">
        <v>111</v>
      </c>
      <c r="C129" s="39">
        <f t="shared" si="4"/>
        <v>0.74</v>
      </c>
      <c r="D129" s="40">
        <f t="shared" si="5"/>
        <v>24006.930599999905</v>
      </c>
      <c r="E129" s="9">
        <f t="shared" si="6"/>
        <v>-793451.20000000007</v>
      </c>
    </row>
    <row r="130" spans="2:5" x14ac:dyDescent="0.2">
      <c r="B130" s="34">
        <v>112</v>
      </c>
      <c r="C130" s="39">
        <f t="shared" si="4"/>
        <v>0.7466666666666667</v>
      </c>
      <c r="D130" s="40">
        <f t="shared" si="5"/>
        <v>25060.189199999964</v>
      </c>
      <c r="E130" s="9">
        <f t="shared" si="6"/>
        <v>-810706.83799999999</v>
      </c>
    </row>
    <row r="131" spans="2:5" x14ac:dyDescent="0.2">
      <c r="B131" s="34">
        <v>113</v>
      </c>
      <c r="C131" s="39">
        <f t="shared" si="4"/>
        <v>0.7533333333333333</v>
      </c>
      <c r="D131" s="40">
        <f t="shared" si="5"/>
        <v>26125.030400000047</v>
      </c>
      <c r="E131" s="9">
        <f t="shared" si="6"/>
        <v>-828144.08799999999</v>
      </c>
    </row>
    <row r="132" spans="2:5" x14ac:dyDescent="0.2">
      <c r="B132" s="34">
        <v>114</v>
      </c>
      <c r="C132" s="39">
        <f t="shared" si="4"/>
        <v>0.76</v>
      </c>
      <c r="D132" s="40">
        <f t="shared" si="5"/>
        <v>27199.517999999807</v>
      </c>
      <c r="E132" s="9">
        <f t="shared" si="6"/>
        <v>-845762.95000000019</v>
      </c>
    </row>
    <row r="133" spans="2:5" x14ac:dyDescent="0.2">
      <c r="B133" s="34">
        <v>115</v>
      </c>
      <c r="C133" s="39">
        <f t="shared" si="4"/>
        <v>0.76666666666666672</v>
      </c>
      <c r="D133" s="40">
        <f t="shared" si="5"/>
        <v>28281.651000000071</v>
      </c>
      <c r="E133" s="9">
        <f t="shared" si="6"/>
        <v>-863563.42399999988</v>
      </c>
    </row>
    <row r="134" spans="2:5" x14ac:dyDescent="0.2">
      <c r="B134" s="34">
        <v>116</v>
      </c>
      <c r="C134" s="39">
        <f t="shared" si="4"/>
        <v>0.77333333333333332</v>
      </c>
      <c r="D134" s="40">
        <f t="shared" si="5"/>
        <v>29369.363599999866</v>
      </c>
      <c r="E134" s="9">
        <f t="shared" si="6"/>
        <v>-881545.51000000013</v>
      </c>
    </row>
    <row r="135" spans="2:5" x14ac:dyDescent="0.2">
      <c r="B135" s="34">
        <v>117</v>
      </c>
      <c r="C135" s="39">
        <f t="shared" si="4"/>
        <v>0.78</v>
      </c>
      <c r="D135" s="40">
        <f t="shared" si="5"/>
        <v>30460.525199999858</v>
      </c>
      <c r="E135" s="9">
        <f t="shared" si="6"/>
        <v>-899709.2080000001</v>
      </c>
    </row>
    <row r="136" spans="2:5" x14ac:dyDescent="0.2">
      <c r="B136" s="34">
        <v>118</v>
      </c>
      <c r="C136" s="39">
        <f t="shared" si="4"/>
        <v>0.78666666666666663</v>
      </c>
      <c r="D136" s="40">
        <f t="shared" si="5"/>
        <v>31552.940399999963</v>
      </c>
      <c r="E136" s="9">
        <f t="shared" si="6"/>
        <v>-918054.51799999992</v>
      </c>
    </row>
    <row r="137" spans="2:5" x14ac:dyDescent="0.2">
      <c r="B137" s="34">
        <v>119</v>
      </c>
      <c r="C137" s="39">
        <f t="shared" si="4"/>
        <v>0.79333333333333333</v>
      </c>
      <c r="D137" s="40">
        <f t="shared" si="5"/>
        <v>32644.348999999813</v>
      </c>
      <c r="E137" s="9">
        <f t="shared" si="6"/>
        <v>-936581.44000000018</v>
      </c>
    </row>
    <row r="138" spans="2:5" x14ac:dyDescent="0.2">
      <c r="B138" s="34">
        <v>120</v>
      </c>
      <c r="C138" s="39">
        <f t="shared" si="4"/>
        <v>0.8</v>
      </c>
      <c r="D138" s="40">
        <f t="shared" si="5"/>
        <v>33732.425999999978</v>
      </c>
      <c r="E138" s="9">
        <f t="shared" si="6"/>
        <v>-955289.97399999993</v>
      </c>
    </row>
    <row r="139" spans="2:5" x14ac:dyDescent="0.2">
      <c r="B139" s="34">
        <v>121</v>
      </c>
      <c r="C139" s="39">
        <f t="shared" si="4"/>
        <v>0.80666666666666664</v>
      </c>
      <c r="D139" s="40">
        <f t="shared" si="5"/>
        <v>34814.781600000104</v>
      </c>
      <c r="E139" s="9">
        <f t="shared" si="6"/>
        <v>-974180.12</v>
      </c>
    </row>
    <row r="140" spans="2:5" x14ac:dyDescent="0.2">
      <c r="B140" s="34">
        <v>122</v>
      </c>
      <c r="C140" s="39">
        <f t="shared" si="4"/>
        <v>0.81333333333333335</v>
      </c>
      <c r="D140" s="40">
        <f t="shared" si="5"/>
        <v>35888.961199999903</v>
      </c>
      <c r="E140" s="9">
        <f t="shared" si="6"/>
        <v>-993251.87800000003</v>
      </c>
    </row>
    <row r="141" spans="2:5" x14ac:dyDescent="0.2">
      <c r="B141" s="34">
        <v>123</v>
      </c>
      <c r="C141" s="39">
        <f t="shared" si="4"/>
        <v>0.82</v>
      </c>
      <c r="D141" s="40">
        <f t="shared" si="5"/>
        <v>36952.445399999968</v>
      </c>
      <c r="E141" s="9">
        <f t="shared" si="6"/>
        <v>-1012505.2479999999</v>
      </c>
    </row>
    <row r="142" spans="2:5" x14ac:dyDescent="0.2">
      <c r="B142" s="34">
        <v>124</v>
      </c>
      <c r="C142" s="39">
        <f t="shared" si="4"/>
        <v>0.82666666666666666</v>
      </c>
      <c r="D142" s="40">
        <f t="shared" si="5"/>
        <v>38002.649999999907</v>
      </c>
      <c r="E142" s="9">
        <f t="shared" si="6"/>
        <v>-1031940.23</v>
      </c>
    </row>
    <row r="143" spans="2:5" x14ac:dyDescent="0.2">
      <c r="B143" s="34">
        <v>125</v>
      </c>
      <c r="C143" s="39">
        <f t="shared" si="4"/>
        <v>0.83333333333333337</v>
      </c>
      <c r="D143" s="40">
        <f t="shared" si="5"/>
        <v>39036.925999999978</v>
      </c>
      <c r="E143" s="9">
        <f t="shared" si="6"/>
        <v>-1051556.824</v>
      </c>
    </row>
    <row r="144" spans="2:5" x14ac:dyDescent="0.2">
      <c r="B144" s="34">
        <v>126</v>
      </c>
      <c r="C144" s="39">
        <f t="shared" si="4"/>
        <v>0.84</v>
      </c>
      <c r="D144" s="40">
        <f t="shared" si="5"/>
        <v>40052.559600000153</v>
      </c>
      <c r="E144" s="9">
        <f t="shared" si="6"/>
        <v>-1071355.0299999998</v>
      </c>
    </row>
    <row r="145" spans="2:5" x14ac:dyDescent="0.2">
      <c r="B145" s="34">
        <v>127</v>
      </c>
      <c r="C145" s="39">
        <f t="shared" si="4"/>
        <v>0.84666666666666668</v>
      </c>
      <c r="D145" s="40">
        <f t="shared" si="5"/>
        <v>41046.772200000007</v>
      </c>
      <c r="E145" s="9">
        <f t="shared" si="6"/>
        <v>-1091334.848</v>
      </c>
    </row>
    <row r="146" spans="2:5" x14ac:dyDescent="0.2">
      <c r="B146" s="34">
        <v>128</v>
      </c>
      <c r="C146" s="39">
        <f t="shared" si="4"/>
        <v>0.85333333333333339</v>
      </c>
      <c r="D146" s="40">
        <f t="shared" si="5"/>
        <v>42016.720399999991</v>
      </c>
      <c r="E146" s="9">
        <f t="shared" si="6"/>
        <v>-1111496.2779999999</v>
      </c>
    </row>
    <row r="147" spans="2:5" x14ac:dyDescent="0.2">
      <c r="B147" s="34">
        <v>129</v>
      </c>
      <c r="C147" s="39">
        <f t="shared" ref="C147:C168" si="7">B147/$B$168</f>
        <v>0.86</v>
      </c>
      <c r="D147" s="40">
        <f t="shared" ref="D147:D168" si="8">$E$3+$E$4*B147+E$5*B147^2+$E$6*B147^3+$E$7*B147^4</f>
        <v>42959.495999999926</v>
      </c>
      <c r="E147" s="9">
        <f t="shared" ref="E147:E168" si="9">$F$3+$F$4*B147+$F$5*B147^2</f>
        <v>-1131839.32</v>
      </c>
    </row>
    <row r="148" spans="2:5" x14ac:dyDescent="0.2">
      <c r="B148" s="34">
        <v>130</v>
      </c>
      <c r="C148" s="39">
        <f t="shared" si="7"/>
        <v>0.8666666666666667</v>
      </c>
      <c r="D148" s="40">
        <f t="shared" si="8"/>
        <v>43872.125999999931</v>
      </c>
      <c r="E148" s="9">
        <f t="shared" si="9"/>
        <v>-1152363.9739999999</v>
      </c>
    </row>
    <row r="149" spans="2:5" x14ac:dyDescent="0.2">
      <c r="B149" s="34">
        <v>131</v>
      </c>
      <c r="C149" s="39">
        <f t="shared" si="7"/>
        <v>0.87333333333333329</v>
      </c>
      <c r="D149" s="40">
        <f t="shared" si="8"/>
        <v>44751.572599999607</v>
      </c>
      <c r="E149" s="9">
        <f t="shared" si="9"/>
        <v>-1173070.2400000002</v>
      </c>
    </row>
    <row r="150" spans="2:5" x14ac:dyDescent="0.2">
      <c r="B150" s="34">
        <v>132</v>
      </c>
      <c r="C150" s="39">
        <f t="shared" si="7"/>
        <v>0.88</v>
      </c>
      <c r="D150" s="40">
        <f t="shared" si="8"/>
        <v>45594.733199999901</v>
      </c>
      <c r="E150" s="9">
        <f t="shared" si="9"/>
        <v>-1193958.118</v>
      </c>
    </row>
    <row r="151" spans="2:5" x14ac:dyDescent="0.2">
      <c r="B151" s="34">
        <v>133</v>
      </c>
      <c r="C151" s="39">
        <f t="shared" si="7"/>
        <v>0.88666666666666671</v>
      </c>
      <c r="D151" s="40">
        <f t="shared" si="8"/>
        <v>46398.440399999847</v>
      </c>
      <c r="E151" s="9">
        <f t="shared" si="9"/>
        <v>-1215027.608</v>
      </c>
    </row>
    <row r="152" spans="2:5" x14ac:dyDescent="0.2">
      <c r="B152" s="34">
        <v>134</v>
      </c>
      <c r="C152" s="39">
        <f t="shared" si="7"/>
        <v>0.89333333333333331</v>
      </c>
      <c r="D152" s="40">
        <f t="shared" si="8"/>
        <v>47159.462000000058</v>
      </c>
      <c r="E152" s="9">
        <f t="shared" si="9"/>
        <v>-1236278.71</v>
      </c>
    </row>
    <row r="153" spans="2:5" x14ac:dyDescent="0.2">
      <c r="B153" s="34">
        <v>135</v>
      </c>
      <c r="C153" s="39">
        <f t="shared" si="7"/>
        <v>0.9</v>
      </c>
      <c r="D153" s="40">
        <f t="shared" si="8"/>
        <v>47874.500999999931</v>
      </c>
      <c r="E153" s="9">
        <f t="shared" si="9"/>
        <v>-1257711.4239999999</v>
      </c>
    </row>
    <row r="154" spans="2:5" x14ac:dyDescent="0.2">
      <c r="B154" s="34">
        <v>136</v>
      </c>
      <c r="C154" s="39">
        <f t="shared" si="7"/>
        <v>0.90666666666666662</v>
      </c>
      <c r="D154" s="40">
        <f t="shared" si="8"/>
        <v>48540.195599999744</v>
      </c>
      <c r="E154" s="9">
        <f t="shared" si="9"/>
        <v>-1279325.75</v>
      </c>
    </row>
    <row r="155" spans="2:5" x14ac:dyDescent="0.2">
      <c r="B155" s="34">
        <v>137</v>
      </c>
      <c r="C155" s="39">
        <f t="shared" si="7"/>
        <v>0.91333333333333333</v>
      </c>
      <c r="D155" s="40">
        <f t="shared" si="8"/>
        <v>49153.119199999725</v>
      </c>
      <c r="E155" s="9">
        <f t="shared" si="9"/>
        <v>-1301121.6880000001</v>
      </c>
    </row>
    <row r="156" spans="2:5" x14ac:dyDescent="0.2">
      <c r="B156" s="34">
        <v>138</v>
      </c>
      <c r="C156" s="39">
        <f t="shared" si="7"/>
        <v>0.92</v>
      </c>
      <c r="D156" s="40">
        <f t="shared" si="8"/>
        <v>49709.780399999931</v>
      </c>
      <c r="E156" s="9">
        <f t="shared" si="9"/>
        <v>-1323099.2379999999</v>
      </c>
    </row>
    <row r="157" spans="2:5" x14ac:dyDescent="0.2">
      <c r="B157" s="34">
        <v>139</v>
      </c>
      <c r="C157" s="39">
        <f t="shared" si="7"/>
        <v>0.92666666666666664</v>
      </c>
      <c r="D157" s="40">
        <f t="shared" si="8"/>
        <v>50206.622999999672</v>
      </c>
      <c r="E157" s="9">
        <f t="shared" si="9"/>
        <v>-1345258.4000000001</v>
      </c>
    </row>
    <row r="158" spans="2:5" x14ac:dyDescent="0.2">
      <c r="B158" s="34">
        <v>140</v>
      </c>
      <c r="C158" s="39">
        <f t="shared" si="7"/>
        <v>0.93333333333333335</v>
      </c>
      <c r="D158" s="40">
        <f t="shared" si="8"/>
        <v>50640.025999999838</v>
      </c>
      <c r="E158" s="9">
        <f t="shared" si="9"/>
        <v>-1367599.1739999999</v>
      </c>
    </row>
    <row r="159" spans="2:5" x14ac:dyDescent="0.2">
      <c r="B159" s="34">
        <v>141</v>
      </c>
      <c r="C159" s="39">
        <f t="shared" si="7"/>
        <v>0.94</v>
      </c>
      <c r="D159" s="40">
        <f t="shared" si="8"/>
        <v>51006.303599999519</v>
      </c>
      <c r="E159" s="9">
        <f t="shared" si="9"/>
        <v>-1390121.56</v>
      </c>
    </row>
    <row r="160" spans="2:5" x14ac:dyDescent="0.2">
      <c r="B160" s="34">
        <v>142</v>
      </c>
      <c r="C160" s="39">
        <f t="shared" si="7"/>
        <v>0.94666666666666666</v>
      </c>
      <c r="D160" s="40">
        <f t="shared" si="8"/>
        <v>51301.705199999968</v>
      </c>
      <c r="E160" s="9">
        <f t="shared" si="9"/>
        <v>-1412825.558</v>
      </c>
    </row>
    <row r="161" spans="2:5" x14ac:dyDescent="0.2">
      <c r="B161" s="34">
        <v>143</v>
      </c>
      <c r="C161" s="39">
        <f t="shared" si="7"/>
        <v>0.95333333333333337</v>
      </c>
      <c r="D161" s="40">
        <f t="shared" si="8"/>
        <v>51522.415399999823</v>
      </c>
      <c r="E161" s="9">
        <f t="shared" si="9"/>
        <v>-1435711.1679999998</v>
      </c>
    </row>
    <row r="162" spans="2:5" x14ac:dyDescent="0.2">
      <c r="B162" s="34">
        <v>144</v>
      </c>
      <c r="C162" s="39">
        <f t="shared" si="7"/>
        <v>0.96</v>
      </c>
      <c r="D162" s="40">
        <f t="shared" si="8"/>
        <v>51664.554000000004</v>
      </c>
      <c r="E162" s="9">
        <f t="shared" si="9"/>
        <v>-1458778.3900000001</v>
      </c>
    </row>
    <row r="163" spans="2:5" x14ac:dyDescent="0.2">
      <c r="B163" s="34">
        <v>145</v>
      </c>
      <c r="C163" s="39">
        <f t="shared" si="7"/>
        <v>0.96666666666666667</v>
      </c>
      <c r="D163" s="40">
        <f t="shared" si="8"/>
        <v>51724.175999999978</v>
      </c>
      <c r="E163" s="9">
        <f t="shared" si="9"/>
        <v>-1482027.2239999999</v>
      </c>
    </row>
    <row r="164" spans="2:5" x14ac:dyDescent="0.2">
      <c r="B164" s="34">
        <v>146</v>
      </c>
      <c r="C164" s="39">
        <f t="shared" si="7"/>
        <v>0.97333333333333338</v>
      </c>
      <c r="D164" s="40">
        <f t="shared" si="8"/>
        <v>51697.271600000095</v>
      </c>
      <c r="E164" s="9">
        <f t="shared" si="9"/>
        <v>-1505457.67</v>
      </c>
    </row>
    <row r="165" spans="2:5" x14ac:dyDescent="0.2">
      <c r="B165" s="34">
        <v>147</v>
      </c>
      <c r="C165" s="39">
        <f t="shared" si="7"/>
        <v>0.98</v>
      </c>
      <c r="D165" s="40">
        <f t="shared" si="8"/>
        <v>51579.766199999722</v>
      </c>
      <c r="E165" s="9">
        <f t="shared" si="9"/>
        <v>-1529069.7280000001</v>
      </c>
    </row>
    <row r="166" spans="2:5" x14ac:dyDescent="0.2">
      <c r="B166" s="34">
        <v>148</v>
      </c>
      <c r="C166" s="39">
        <f t="shared" si="7"/>
        <v>0.98666666666666669</v>
      </c>
      <c r="D166" s="40">
        <f t="shared" si="8"/>
        <v>51367.52040000027</v>
      </c>
      <c r="E166" s="9">
        <f t="shared" si="9"/>
        <v>-1552863.3979999998</v>
      </c>
    </row>
    <row r="167" spans="2:5" x14ac:dyDescent="0.2">
      <c r="B167" s="34">
        <v>149</v>
      </c>
      <c r="C167" s="39">
        <f t="shared" si="7"/>
        <v>0.99333333333333329</v>
      </c>
      <c r="D167" s="40">
        <f t="shared" si="8"/>
        <v>51056.329999999609</v>
      </c>
      <c r="E167" s="9">
        <f t="shared" si="9"/>
        <v>-1576838.6800000002</v>
      </c>
    </row>
    <row r="168" spans="2:5" x14ac:dyDescent="0.2">
      <c r="B168" s="34">
        <v>150</v>
      </c>
      <c r="C168" s="39">
        <f t="shared" si="7"/>
        <v>1</v>
      </c>
      <c r="D168" s="40">
        <f t="shared" si="8"/>
        <v>50641.925999999978</v>
      </c>
      <c r="E168" s="9">
        <f t="shared" si="9"/>
        <v>-1600995.574</v>
      </c>
    </row>
  </sheetData>
  <mergeCells count="3">
    <mergeCell ref="B1:C1"/>
    <mergeCell ref="D1:E1"/>
    <mergeCell ref="B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D2E1-888E-2745-8EAA-80955DCE084A}">
  <dimension ref="A1:I53"/>
  <sheetViews>
    <sheetView zoomScale="80" zoomScaleNormal="80" workbookViewId="0">
      <selection activeCell="B30" sqref="B30"/>
    </sheetView>
  </sheetViews>
  <sheetFormatPr baseColWidth="10" defaultRowHeight="16" x14ac:dyDescent="0.2"/>
  <cols>
    <col min="1" max="1" width="17.33203125" customWidth="1"/>
    <col min="3" max="3" width="15.33203125" customWidth="1"/>
    <col min="4" max="4" width="11" bestFit="1" customWidth="1"/>
    <col min="5" max="5" width="14.5" bestFit="1" customWidth="1"/>
    <col min="6" max="6" width="11.5" customWidth="1"/>
    <col min="7" max="7" width="10.83203125" customWidth="1"/>
    <col min="8" max="8" width="24.83203125" customWidth="1"/>
    <col min="9" max="9" width="26.6640625" bestFit="1" customWidth="1"/>
  </cols>
  <sheetData>
    <row r="1" spans="1:9" x14ac:dyDescent="0.2">
      <c r="A1" s="98" t="s">
        <v>18</v>
      </c>
      <c r="B1" s="98"/>
      <c r="C1" s="99" t="s">
        <v>20</v>
      </c>
      <c r="D1" s="99"/>
      <c r="E1" s="100" t="s">
        <v>19</v>
      </c>
      <c r="F1" s="100"/>
      <c r="G1" s="101" t="s">
        <v>56</v>
      </c>
      <c r="H1" s="102"/>
      <c r="I1" s="103"/>
    </row>
    <row r="2" spans="1:9" x14ac:dyDescent="0.2">
      <c r="A2" s="11" t="s">
        <v>14</v>
      </c>
      <c r="B2" s="11" t="s">
        <v>15</v>
      </c>
      <c r="C2" s="16" t="s">
        <v>14</v>
      </c>
      <c r="D2" s="16" t="s">
        <v>15</v>
      </c>
      <c r="E2" s="12" t="s">
        <v>14</v>
      </c>
      <c r="F2" s="12"/>
      <c r="G2" s="90" t="s">
        <v>14</v>
      </c>
      <c r="H2" s="91" t="s">
        <v>58</v>
      </c>
      <c r="I2" s="92" t="s">
        <v>57</v>
      </c>
    </row>
    <row r="3" spans="1:9" x14ac:dyDescent="0.2">
      <c r="A3" s="13">
        <v>2014</v>
      </c>
      <c r="B3" s="22">
        <v>1100</v>
      </c>
      <c r="C3" s="21">
        <v>2014</v>
      </c>
      <c r="D3" s="23">
        <f>D4*(1-$D$21)</f>
        <v>1492.8738586103007</v>
      </c>
      <c r="E3" s="14">
        <v>2014</v>
      </c>
      <c r="F3" s="27">
        <v>1400</v>
      </c>
      <c r="G3" s="83">
        <v>2014</v>
      </c>
      <c r="H3" s="84">
        <f>AVERAGE(B3,D3,F3)</f>
        <v>1330.9579528701004</v>
      </c>
      <c r="I3" s="85">
        <f>H3*0.89</f>
        <v>1184.5525780543894</v>
      </c>
    </row>
    <row r="4" spans="1:9" x14ac:dyDescent="0.2">
      <c r="A4" s="13">
        <v>2015</v>
      </c>
      <c r="B4" s="22">
        <f t="shared" ref="B4:B12" si="0">B3*(1+$B$16)</f>
        <v>1037.0182517702588</v>
      </c>
      <c r="C4" s="17">
        <v>2015</v>
      </c>
      <c r="D4" s="24">
        <v>1400</v>
      </c>
      <c r="E4" s="14">
        <v>2015</v>
      </c>
      <c r="F4" s="27">
        <f>F3*(1+$F$16)</f>
        <v>1221.7575572712149</v>
      </c>
      <c r="G4" s="86">
        <v>2015</v>
      </c>
      <c r="H4" s="84">
        <f t="shared" ref="H4:H19" si="1">H3*(1+$B$28)</f>
        <v>1235.6382999551226</v>
      </c>
      <c r="I4" s="85">
        <f t="shared" ref="I4:I19" si="2">H4*0.89</f>
        <v>1099.7180869600593</v>
      </c>
    </row>
    <row r="5" spans="1:9" x14ac:dyDescent="0.2">
      <c r="A5" s="13">
        <v>2016</v>
      </c>
      <c r="B5" s="22">
        <f t="shared" si="0"/>
        <v>977.64259500422156</v>
      </c>
      <c r="C5" s="17">
        <v>2016</v>
      </c>
      <c r="D5" s="24">
        <f>D4*(1+$D$21)</f>
        <v>1307.1261413896993</v>
      </c>
      <c r="E5" s="14">
        <v>2016</v>
      </c>
      <c r="F5" s="27">
        <f t="shared" ref="F5:F7" si="3">F4*(1+$F$16)</f>
        <v>1066.2082348209472</v>
      </c>
      <c r="G5" s="86">
        <v>2016</v>
      </c>
      <c r="H5" s="84">
        <f t="shared" si="1"/>
        <v>1147.1451859343595</v>
      </c>
      <c r="I5" s="85">
        <f t="shared" si="2"/>
        <v>1020.9592154815799</v>
      </c>
    </row>
    <row r="6" spans="1:9" x14ac:dyDescent="0.2">
      <c r="A6" s="13">
        <v>2017</v>
      </c>
      <c r="B6" s="22">
        <f t="shared" si="0"/>
        <v>921.66655884310626</v>
      </c>
      <c r="C6" s="17">
        <v>2017</v>
      </c>
      <c r="D6" s="24">
        <f t="shared" ref="D6:D18" si="4">D5*(1+$D$21)</f>
        <v>1220.4133925030887</v>
      </c>
      <c r="E6" s="14">
        <v>2017</v>
      </c>
      <c r="F6" s="27">
        <f t="shared" si="3"/>
        <v>930.46283465521026</v>
      </c>
      <c r="G6" s="86">
        <v>2017</v>
      </c>
      <c r="H6" s="84">
        <f t="shared" si="1"/>
        <v>1064.9897123293847</v>
      </c>
      <c r="I6" s="85">
        <f t="shared" si="2"/>
        <v>947.84084397315235</v>
      </c>
    </row>
    <row r="7" spans="1:9" x14ac:dyDescent="0.2">
      <c r="A7" s="13">
        <v>2018</v>
      </c>
      <c r="B7" s="22">
        <f t="shared" si="0"/>
        <v>868.89549415144393</v>
      </c>
      <c r="C7" s="17">
        <v>2018</v>
      </c>
      <c r="D7" s="24">
        <f t="shared" si="4"/>
        <v>1139.4530347449106</v>
      </c>
      <c r="E7" s="14">
        <v>2018</v>
      </c>
      <c r="F7" s="27">
        <f t="shared" si="3"/>
        <v>812.00000000000011</v>
      </c>
      <c r="G7" s="86">
        <v>2018</v>
      </c>
      <c r="H7" s="84">
        <f t="shared" si="1"/>
        <v>988.71799426469954</v>
      </c>
      <c r="I7" s="85">
        <f t="shared" si="2"/>
        <v>879.95901489558264</v>
      </c>
    </row>
    <row r="8" spans="1:9" x14ac:dyDescent="0.2">
      <c r="A8" s="13">
        <v>2019</v>
      </c>
      <c r="B8" s="22">
        <f t="shared" si="0"/>
        <v>819.14589665089591</v>
      </c>
      <c r="C8" s="35">
        <v>2019</v>
      </c>
      <c r="D8" s="36">
        <f t="shared" si="4"/>
        <v>1063.8634632863557</v>
      </c>
      <c r="E8" s="14"/>
      <c r="F8" s="15"/>
      <c r="G8" s="86">
        <v>2019</v>
      </c>
      <c r="H8" s="84">
        <f t="shared" si="1"/>
        <v>917.90865288702935</v>
      </c>
      <c r="I8" s="85">
        <f t="shared" si="2"/>
        <v>816.9387010694561</v>
      </c>
    </row>
    <row r="9" spans="1:9" x14ac:dyDescent="0.2">
      <c r="A9" s="13">
        <v>2020</v>
      </c>
      <c r="B9" s="22">
        <f t="shared" si="0"/>
        <v>772.24476880881195</v>
      </c>
      <c r="C9" s="17">
        <v>2020</v>
      </c>
      <c r="D9" s="24">
        <f t="shared" si="4"/>
        <v>993.28838837926867</v>
      </c>
      <c r="E9" s="14"/>
      <c r="F9" s="15"/>
      <c r="G9" s="86">
        <v>2020</v>
      </c>
      <c r="H9" s="84">
        <f t="shared" si="1"/>
        <v>852.1704873708527</v>
      </c>
      <c r="I9" s="85">
        <f t="shared" si="2"/>
        <v>758.43173376005893</v>
      </c>
    </row>
    <row r="10" spans="1:9" x14ac:dyDescent="0.2">
      <c r="A10" s="13">
        <v>2021</v>
      </c>
      <c r="B10" s="22">
        <f t="shared" si="0"/>
        <v>728.02901826258346</v>
      </c>
      <c r="C10" s="17">
        <v>2021</v>
      </c>
      <c r="D10" s="24">
        <f t="shared" si="4"/>
        <v>927.39515599241884</v>
      </c>
      <c r="E10" s="14"/>
      <c r="F10" s="15"/>
      <c r="G10" s="86">
        <v>2021</v>
      </c>
      <c r="H10" s="84">
        <f t="shared" si="1"/>
        <v>791.14031364867435</v>
      </c>
      <c r="I10" s="85">
        <f t="shared" si="2"/>
        <v>704.11487914732015</v>
      </c>
    </row>
    <row r="11" spans="1:9" x14ac:dyDescent="0.2">
      <c r="A11" s="13">
        <v>2022</v>
      </c>
      <c r="B11" s="22">
        <f t="shared" si="0"/>
        <v>686.34489068789276</v>
      </c>
      <c r="C11" s="17">
        <v>2022</v>
      </c>
      <c r="D11" s="24">
        <f t="shared" si="4"/>
        <v>865.8731798541919</v>
      </c>
      <c r="E11" s="14"/>
      <c r="F11" s="15"/>
      <c r="G11" s="86">
        <v>2022</v>
      </c>
      <c r="H11" s="84">
        <f t="shared" si="1"/>
        <v>734.48095792566289</v>
      </c>
      <c r="I11" s="85">
        <f t="shared" si="2"/>
        <v>653.68805255383995</v>
      </c>
    </row>
    <row r="12" spans="1:9" x14ac:dyDescent="0.2">
      <c r="A12" s="13">
        <v>2023</v>
      </c>
      <c r="B12" s="22">
        <f t="shared" si="0"/>
        <v>647.04743513873439</v>
      </c>
      <c r="C12" s="17">
        <v>2023</v>
      </c>
      <c r="D12" s="24">
        <f t="shared" si="4"/>
        <v>808.43247751117065</v>
      </c>
      <c r="E12" s="14"/>
      <c r="F12" s="15"/>
      <c r="G12" s="86">
        <v>2023</v>
      </c>
      <c r="H12" s="84">
        <f t="shared" si="1"/>
        <v>681.87939389340875</v>
      </c>
      <c r="I12" s="85">
        <f t="shared" si="2"/>
        <v>606.87266056513374</v>
      </c>
    </row>
    <row r="13" spans="1:9" x14ac:dyDescent="0.2">
      <c r="A13" s="13">
        <v>2024</v>
      </c>
      <c r="B13" s="22">
        <v>610</v>
      </c>
      <c r="C13" s="17">
        <v>2024</v>
      </c>
      <c r="D13" s="24">
        <f t="shared" si="4"/>
        <v>754.80230350235092</v>
      </c>
      <c r="E13" s="14"/>
      <c r="F13" s="14"/>
      <c r="G13" s="86">
        <v>2024</v>
      </c>
      <c r="H13" s="84">
        <f t="shared" si="1"/>
        <v>633.04501335145733</v>
      </c>
      <c r="I13" s="85">
        <f t="shared" si="2"/>
        <v>563.41006188279698</v>
      </c>
    </row>
    <row r="14" spans="1:9" x14ac:dyDescent="0.2">
      <c r="A14" s="13"/>
      <c r="B14" s="13"/>
      <c r="C14" s="17">
        <v>2025</v>
      </c>
      <c r="D14" s="24">
        <f t="shared" si="4"/>
        <v>704.72987320648906</v>
      </c>
      <c r="E14" s="14"/>
      <c r="F14" s="14"/>
      <c r="G14" s="86">
        <v>2025</v>
      </c>
      <c r="H14" s="84">
        <f t="shared" si="1"/>
        <v>587.70802068230762</v>
      </c>
      <c r="I14" s="85">
        <f t="shared" si="2"/>
        <v>523.06013840725382</v>
      </c>
    </row>
    <row r="15" spans="1:9" x14ac:dyDescent="0.2">
      <c r="A15" s="13" t="s">
        <v>16</v>
      </c>
      <c r="B15" s="13" t="s">
        <v>17</v>
      </c>
      <c r="C15" s="17">
        <v>2026</v>
      </c>
      <c r="D15" s="24">
        <f t="shared" si="4"/>
        <v>657.97917134746433</v>
      </c>
      <c r="E15" s="14" t="s">
        <v>16</v>
      </c>
      <c r="F15" s="14" t="s">
        <v>17</v>
      </c>
      <c r="G15" s="86">
        <v>2026</v>
      </c>
      <c r="H15" s="84">
        <f t="shared" si="1"/>
        <v>545.61794230982161</v>
      </c>
      <c r="I15" s="85">
        <f t="shared" si="2"/>
        <v>485.59996865574124</v>
      </c>
    </row>
    <row r="16" spans="1:9" x14ac:dyDescent="0.2">
      <c r="A16" s="25">
        <f>(B13-B3)/B3</f>
        <v>-0.44545454545454544</v>
      </c>
      <c r="B16" s="18">
        <f>((1+A16)^(1/(A13-A3)))-1</f>
        <v>-5.7256134754310239E-2</v>
      </c>
      <c r="C16" s="17">
        <v>2027</v>
      </c>
      <c r="D16" s="24">
        <f t="shared" si="4"/>
        <v>614.32983954157339</v>
      </c>
      <c r="E16" s="14">
        <v>-0.42</v>
      </c>
      <c r="F16" s="20">
        <f>((1+E16)^(1/(E7-E3)))-1</f>
        <v>-0.12731603052056073</v>
      </c>
      <c r="G16" s="86">
        <v>2027</v>
      </c>
      <c r="H16" s="84">
        <f t="shared" si="1"/>
        <v>506.54224290624143</v>
      </c>
      <c r="I16" s="85">
        <f t="shared" si="2"/>
        <v>450.8225961865549</v>
      </c>
    </row>
    <row r="17" spans="1:9" x14ac:dyDescent="0.2">
      <c r="C17" s="17">
        <v>2028</v>
      </c>
      <c r="D17" s="24">
        <f t="shared" si="4"/>
        <v>573.5761376432356</v>
      </c>
      <c r="G17" s="86">
        <v>2028</v>
      </c>
      <c r="H17" s="84">
        <f t="shared" si="1"/>
        <v>470.26504070276235</v>
      </c>
      <c r="I17" s="85">
        <f t="shared" si="2"/>
        <v>418.53588622545851</v>
      </c>
    </row>
    <row r="18" spans="1:9" x14ac:dyDescent="0.2">
      <c r="C18" s="17">
        <v>2029</v>
      </c>
      <c r="D18" s="24">
        <f t="shared" si="4"/>
        <v>535.5259739934354</v>
      </c>
      <c r="G18" s="86">
        <v>2029</v>
      </c>
      <c r="H18" s="84">
        <f t="shared" si="1"/>
        <v>436.58591480613075</v>
      </c>
      <c r="I18" s="85">
        <f t="shared" si="2"/>
        <v>388.56146417745634</v>
      </c>
    </row>
    <row r="19" spans="1:9" x14ac:dyDescent="0.2">
      <c r="C19" s="17">
        <v>2030</v>
      </c>
      <c r="D19" s="24">
        <v>500</v>
      </c>
      <c r="G19" s="87">
        <v>2030</v>
      </c>
      <c r="H19" s="88">
        <f t="shared" si="1"/>
        <v>405.31879793204121</v>
      </c>
      <c r="I19" s="89">
        <f t="shared" si="2"/>
        <v>360.73373015951665</v>
      </c>
    </row>
    <row r="20" spans="1:9" x14ac:dyDescent="0.2">
      <c r="C20" s="17" t="s">
        <v>16</v>
      </c>
      <c r="D20" s="17" t="s">
        <v>17</v>
      </c>
    </row>
    <row r="21" spans="1:9" x14ac:dyDescent="0.2">
      <c r="C21" s="26">
        <f>(D19-D4)/D4</f>
        <v>-0.6428571428571429</v>
      </c>
      <c r="D21" s="19">
        <f>((1+C21)^(1/(C19-C4)))-1</f>
        <v>-6.6338470435929109E-2</v>
      </c>
      <c r="H21" s="10"/>
    </row>
    <row r="28" spans="1:9" ht="51" x14ac:dyDescent="0.2">
      <c r="A28" s="93" t="s">
        <v>59</v>
      </c>
      <c r="B28" s="94">
        <f>(B16*(A13-A3)+D21*(C19-C4)+F16*(E7-E3))/((A13-A3)+(C19-C4)+(E7-E3))</f>
        <v>-7.1617328488423518E-2</v>
      </c>
    </row>
    <row r="35" spans="2:7" x14ac:dyDescent="0.2">
      <c r="B35" s="6"/>
      <c r="D35" s="6"/>
      <c r="F35" s="6"/>
      <c r="G35" s="6"/>
    </row>
    <row r="36" spans="2:7" x14ac:dyDescent="0.2">
      <c r="B36" s="6"/>
      <c r="D36" s="6"/>
      <c r="F36" s="6"/>
      <c r="G36" s="6"/>
    </row>
    <row r="37" spans="2:7" x14ac:dyDescent="0.2">
      <c r="B37" s="6"/>
      <c r="D37" s="6"/>
      <c r="F37" s="6"/>
      <c r="G37" s="6"/>
    </row>
    <row r="38" spans="2:7" x14ac:dyDescent="0.2">
      <c r="B38" s="6"/>
      <c r="D38" s="6"/>
      <c r="F38" s="6"/>
      <c r="G38" s="6"/>
    </row>
    <row r="39" spans="2:7" x14ac:dyDescent="0.2">
      <c r="B39" s="6"/>
      <c r="D39" s="6"/>
      <c r="F39" s="6"/>
      <c r="G39" s="6"/>
    </row>
    <row r="40" spans="2:7" x14ac:dyDescent="0.2">
      <c r="B40" s="6"/>
      <c r="D40" s="6"/>
    </row>
    <row r="41" spans="2:7" x14ac:dyDescent="0.2">
      <c r="B41" s="6"/>
      <c r="D41" s="6"/>
    </row>
    <row r="42" spans="2:7" x14ac:dyDescent="0.2">
      <c r="B42" s="6"/>
      <c r="D42" s="6"/>
    </row>
    <row r="43" spans="2:7" x14ac:dyDescent="0.2">
      <c r="B43" s="6"/>
      <c r="D43" s="6"/>
    </row>
    <row r="44" spans="2:7" x14ac:dyDescent="0.2">
      <c r="B44" s="6"/>
      <c r="D44" s="6"/>
    </row>
    <row r="45" spans="2:7" x14ac:dyDescent="0.2">
      <c r="B45" s="6"/>
      <c r="D45" s="6"/>
    </row>
    <row r="46" spans="2:7" x14ac:dyDescent="0.2">
      <c r="D46" s="6"/>
    </row>
    <row r="47" spans="2:7" x14ac:dyDescent="0.2">
      <c r="D47" s="6"/>
    </row>
    <row r="48" spans="2:7" x14ac:dyDescent="0.2">
      <c r="D48" s="6"/>
    </row>
    <row r="49" spans="1:7" x14ac:dyDescent="0.2">
      <c r="D49" s="6"/>
    </row>
    <row r="50" spans="1:7" x14ac:dyDescent="0.2">
      <c r="D50" s="6"/>
    </row>
    <row r="51" spans="1:7" x14ac:dyDescent="0.2">
      <c r="D51" s="6"/>
    </row>
    <row r="53" spans="1:7" x14ac:dyDescent="0.2">
      <c r="A53" s="28"/>
      <c r="B53" s="28"/>
      <c r="C53" s="28"/>
      <c r="D53" s="28"/>
      <c r="E53" s="28"/>
      <c r="F53" s="28"/>
      <c r="G53" s="28"/>
    </row>
  </sheetData>
  <mergeCells count="4">
    <mergeCell ref="A1:B1"/>
    <mergeCell ref="C1:D1"/>
    <mergeCell ref="E1:F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A5A0-16AC-6B46-939A-72794821D9CA}">
  <dimension ref="A1:K33"/>
  <sheetViews>
    <sheetView workbookViewId="0">
      <selection activeCell="D19" sqref="D19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6.6640625" customWidth="1"/>
    <col min="4" max="4" width="11.83203125" customWidth="1"/>
    <col min="5" max="5" width="14.6640625" customWidth="1"/>
    <col min="6" max="6" width="10.83203125" style="33"/>
    <col min="8" max="8" width="12" bestFit="1" customWidth="1"/>
  </cols>
  <sheetData>
    <row r="1" spans="1:11" x14ac:dyDescent="0.2">
      <c r="A1" s="58" t="s">
        <v>26</v>
      </c>
      <c r="B1" s="58" t="s">
        <v>2</v>
      </c>
      <c r="C1" s="62" t="s">
        <v>29</v>
      </c>
      <c r="D1" s="62" t="s">
        <v>2</v>
      </c>
      <c r="E1" s="5" t="s">
        <v>27</v>
      </c>
      <c r="G1" s="51"/>
      <c r="H1" s="104" t="s">
        <v>25</v>
      </c>
      <c r="I1" s="105"/>
      <c r="J1" s="106" t="s">
        <v>41</v>
      </c>
      <c r="K1" s="107"/>
    </row>
    <row r="2" spans="1:11" x14ac:dyDescent="0.2">
      <c r="A2" s="59" t="s">
        <v>30</v>
      </c>
      <c r="B2" s="59">
        <v>20</v>
      </c>
      <c r="C2" s="63"/>
      <c r="D2" s="63"/>
      <c r="E2" s="41" t="s">
        <v>31</v>
      </c>
      <c r="G2" s="52" t="s">
        <v>13</v>
      </c>
      <c r="H2" s="55" t="s">
        <v>37</v>
      </c>
      <c r="I2" s="48" t="s">
        <v>38</v>
      </c>
      <c r="J2" s="43" t="s">
        <v>37</v>
      </c>
      <c r="K2" s="44" t="s">
        <v>38</v>
      </c>
    </row>
    <row r="3" spans="1:11" x14ac:dyDescent="0.2">
      <c r="A3" s="60" t="s">
        <v>0</v>
      </c>
      <c r="B3" s="61">
        <v>0.8</v>
      </c>
      <c r="C3" s="64"/>
      <c r="D3" s="64"/>
      <c r="E3" s="42" t="s">
        <v>28</v>
      </c>
      <c r="G3" s="53">
        <v>0</v>
      </c>
      <c r="H3" s="56">
        <f>IF(G3=0,$D$5+$D$10,IF(G3="None",0,$D$6+$D$10*$D$11))</f>
        <v>34042.425999999978</v>
      </c>
      <c r="I3" s="49">
        <f>IF(H3=0,0,H3/(1+$D$7)^G3)</f>
        <v>34042.425999999978</v>
      </c>
      <c r="J3" s="45">
        <f>IF(H3=0,0,$D$10*$D$11+$D$13*$D$14)</f>
        <v>11780</v>
      </c>
      <c r="K3" s="46">
        <f>IF(J3=0,0,J3/(1+$D$7)^G3)</f>
        <v>11780</v>
      </c>
    </row>
    <row r="4" spans="1:11" x14ac:dyDescent="0.2">
      <c r="A4" s="60"/>
      <c r="B4" s="60"/>
      <c r="C4" s="64" t="s">
        <v>22</v>
      </c>
      <c r="D4" s="73">
        <f>LOOKUP(B3,'Input regression PV'!C18:C168,'Input regression PV'!$B$18:$B$168)</f>
        <v>120</v>
      </c>
      <c r="E4" s="42" t="s">
        <v>1</v>
      </c>
      <c r="G4" s="53">
        <f>IF(G3&gt;=$B$2,"None",G3+1)</f>
        <v>1</v>
      </c>
      <c r="H4" s="56">
        <f>IF(G4=0,$D$5+$D$10,IF(G4="None",0,$D$6+$D$10*$D$11))</f>
        <v>829.64851999999962</v>
      </c>
      <c r="I4" s="49">
        <f>IF(H4=0,0,H4/(1+$D$7)^G4)</f>
        <v>775.3724485981304</v>
      </c>
      <c r="J4" s="45">
        <f t="shared" ref="J4:J33" si="0">IF(H4=0,0,$D$10*$D$11+$D$13*$D$14)</f>
        <v>11780</v>
      </c>
      <c r="K4" s="46">
        <f>IF(J4=0,0,J4/(1+$D$7)^G4)</f>
        <v>11009.345794392522</v>
      </c>
    </row>
    <row r="5" spans="1:11" x14ac:dyDescent="0.2">
      <c r="A5" s="60"/>
      <c r="B5" s="60"/>
      <c r="C5" s="64"/>
      <c r="D5" s="76">
        <f>LOOKUP(B3,'Input regression PV'!$C$18:$C$168,'Input regression PV'!$D$18:$D$168)</f>
        <v>33732.425999999978</v>
      </c>
      <c r="E5" s="42" t="s">
        <v>33</v>
      </c>
      <c r="G5" s="53">
        <f t="shared" ref="G5:G33" si="1">IF(G4&gt;=$B$2,"None",G4+1)</f>
        <v>2</v>
      </c>
      <c r="H5" s="56">
        <f t="shared" ref="H5:H33" si="2">IF(G5=0,$D$5+$D$10,IF(G5="None",0,$D$6+$D$10*$D$11))</f>
        <v>829.64851999999962</v>
      </c>
      <c r="I5" s="49">
        <f t="shared" ref="I5:I33" si="3">IF(H5=0,0,H5/(1+$D$7)^G5)</f>
        <v>724.64714822255189</v>
      </c>
      <c r="J5" s="45">
        <f t="shared" si="0"/>
        <v>11780</v>
      </c>
      <c r="K5" s="46">
        <f t="shared" ref="K5:K33" si="4">IF(J5=0,0,J5/(1+$D$7)^G5)</f>
        <v>10289.108219058433</v>
      </c>
    </row>
    <row r="6" spans="1:11" x14ac:dyDescent="0.2">
      <c r="A6" s="60"/>
      <c r="B6" s="60"/>
      <c r="C6" s="64"/>
      <c r="D6" s="74">
        <f>0.02*D5</f>
        <v>674.64851999999962</v>
      </c>
      <c r="E6" s="42" t="s">
        <v>33</v>
      </c>
      <c r="G6" s="53">
        <f t="shared" si="1"/>
        <v>3</v>
      </c>
      <c r="H6" s="56">
        <f t="shared" si="2"/>
        <v>829.64851999999962</v>
      </c>
      <c r="I6" s="49">
        <f t="shared" si="3"/>
        <v>677.2403254416372</v>
      </c>
      <c r="J6" s="45">
        <f t="shared" si="0"/>
        <v>11780</v>
      </c>
      <c r="K6" s="46">
        <f t="shared" si="4"/>
        <v>9615.988989774236</v>
      </c>
    </row>
    <row r="7" spans="1:11" x14ac:dyDescent="0.2">
      <c r="A7" s="60"/>
      <c r="B7" s="60"/>
      <c r="C7" s="64" t="s">
        <v>32</v>
      </c>
      <c r="D7" s="67">
        <v>7.0000000000000007E-2</v>
      </c>
      <c r="E7" s="42" t="s">
        <v>28</v>
      </c>
      <c r="G7" s="53">
        <f t="shared" si="1"/>
        <v>4</v>
      </c>
      <c r="H7" s="56">
        <f t="shared" si="2"/>
        <v>829.64851999999962</v>
      </c>
      <c r="I7" s="49">
        <f t="shared" si="3"/>
        <v>632.93488359031517</v>
      </c>
      <c r="J7" s="45">
        <f t="shared" si="0"/>
        <v>11780</v>
      </c>
      <c r="K7" s="46">
        <f t="shared" si="4"/>
        <v>8986.9055979198474</v>
      </c>
    </row>
    <row r="8" spans="1:11" x14ac:dyDescent="0.2">
      <c r="A8" s="60"/>
      <c r="B8" s="68">
        <v>1000</v>
      </c>
      <c r="C8" s="64"/>
      <c r="D8" s="66"/>
      <c r="E8" s="42" t="s">
        <v>34</v>
      </c>
      <c r="G8" s="53">
        <f t="shared" si="1"/>
        <v>5</v>
      </c>
      <c r="H8" s="56">
        <f t="shared" si="2"/>
        <v>829.64851999999962</v>
      </c>
      <c r="I8" s="49">
        <f t="shared" si="3"/>
        <v>591.52792858907958</v>
      </c>
      <c r="J8" s="45">
        <f t="shared" si="0"/>
        <v>11780</v>
      </c>
      <c r="K8" s="46">
        <f t="shared" si="4"/>
        <v>8398.9771943176129</v>
      </c>
    </row>
    <row r="9" spans="1:11" x14ac:dyDescent="0.2">
      <c r="A9" s="60"/>
      <c r="B9" s="60"/>
      <c r="C9" s="64"/>
      <c r="D9" s="64">
        <v>0.31</v>
      </c>
      <c r="E9" s="42" t="s">
        <v>35</v>
      </c>
      <c r="G9" s="53">
        <f t="shared" si="1"/>
        <v>6</v>
      </c>
      <c r="H9" s="56">
        <f t="shared" si="2"/>
        <v>829.64851999999962</v>
      </c>
      <c r="I9" s="49">
        <f t="shared" si="3"/>
        <v>552.82983980287815</v>
      </c>
      <c r="J9" s="45">
        <f t="shared" si="0"/>
        <v>11780</v>
      </c>
      <c r="K9" s="46">
        <f t="shared" si="4"/>
        <v>7849.5113965585178</v>
      </c>
    </row>
    <row r="10" spans="1:11" x14ac:dyDescent="0.2">
      <c r="A10" s="60"/>
      <c r="B10" s="60"/>
      <c r="C10" s="64"/>
      <c r="D10" s="76">
        <f>B8*D9</f>
        <v>310</v>
      </c>
      <c r="E10" s="42" t="s">
        <v>33</v>
      </c>
      <c r="G10" s="53">
        <f t="shared" si="1"/>
        <v>7</v>
      </c>
      <c r="H10" s="56">
        <f t="shared" si="2"/>
        <v>829.64851999999962</v>
      </c>
      <c r="I10" s="49">
        <f t="shared" si="3"/>
        <v>516.66340168493275</v>
      </c>
      <c r="J10" s="45">
        <f t="shared" si="0"/>
        <v>11780</v>
      </c>
      <c r="K10" s="46">
        <f t="shared" si="4"/>
        <v>7335.9919594004832</v>
      </c>
    </row>
    <row r="11" spans="1:11" x14ac:dyDescent="0.2">
      <c r="A11" s="60"/>
      <c r="B11" s="60"/>
      <c r="C11" s="64" t="s">
        <v>36</v>
      </c>
      <c r="D11" s="67">
        <v>0.5</v>
      </c>
      <c r="E11" s="42" t="s">
        <v>28</v>
      </c>
      <c r="G11" s="53">
        <f t="shared" si="1"/>
        <v>8</v>
      </c>
      <c r="H11" s="56">
        <f t="shared" si="2"/>
        <v>829.64851999999962</v>
      </c>
      <c r="I11" s="49">
        <f t="shared" si="3"/>
        <v>482.86299222890915</v>
      </c>
      <c r="J11" s="45">
        <f t="shared" si="0"/>
        <v>11780</v>
      </c>
      <c r="K11" s="46">
        <f t="shared" si="4"/>
        <v>6856.0672517761532</v>
      </c>
    </row>
    <row r="12" spans="1:11" x14ac:dyDescent="0.2">
      <c r="A12" s="60"/>
      <c r="B12" s="60"/>
      <c r="C12" s="64" t="s">
        <v>60</v>
      </c>
      <c r="D12" s="66">
        <v>2500</v>
      </c>
      <c r="E12" s="42" t="s">
        <v>62</v>
      </c>
      <c r="G12" s="53">
        <f t="shared" si="1"/>
        <v>9</v>
      </c>
      <c r="H12" s="56">
        <f t="shared" si="2"/>
        <v>829.64851999999962</v>
      </c>
      <c r="I12" s="49">
        <f t="shared" si="3"/>
        <v>451.27382451299917</v>
      </c>
      <c r="J12" s="45">
        <f t="shared" si="0"/>
        <v>11780</v>
      </c>
      <c r="K12" s="46">
        <f t="shared" si="4"/>
        <v>6407.5394876412638</v>
      </c>
    </row>
    <row r="13" spans="1:11" x14ac:dyDescent="0.2">
      <c r="A13" s="60"/>
      <c r="B13" s="60"/>
      <c r="C13" s="64" t="s">
        <v>63</v>
      </c>
      <c r="D13" s="76">
        <f>D12*D9</f>
        <v>775</v>
      </c>
      <c r="E13" s="42" t="s">
        <v>61</v>
      </c>
      <c r="G13" s="53">
        <f t="shared" si="1"/>
        <v>10</v>
      </c>
      <c r="H13" s="56">
        <f t="shared" si="2"/>
        <v>829.64851999999962</v>
      </c>
      <c r="I13" s="49">
        <f t="shared" si="3"/>
        <v>421.75123786261605</v>
      </c>
      <c r="J13" s="45">
        <f t="shared" si="0"/>
        <v>11780</v>
      </c>
      <c r="K13" s="46">
        <f t="shared" si="4"/>
        <v>5988.3546613469753</v>
      </c>
    </row>
    <row r="14" spans="1:11" x14ac:dyDescent="0.2">
      <c r="A14" s="60"/>
      <c r="B14" s="60"/>
      <c r="C14" s="64" t="s">
        <v>64</v>
      </c>
      <c r="D14" s="66">
        <v>15</v>
      </c>
      <c r="E14" s="42" t="s">
        <v>43</v>
      </c>
      <c r="G14" s="53">
        <f t="shared" si="1"/>
        <v>11</v>
      </c>
      <c r="H14" s="56">
        <f t="shared" si="2"/>
        <v>829.64851999999962</v>
      </c>
      <c r="I14" s="49">
        <f t="shared" si="3"/>
        <v>394.16003538562245</v>
      </c>
      <c r="J14" s="45">
        <f t="shared" si="0"/>
        <v>11780</v>
      </c>
      <c r="K14" s="46">
        <f t="shared" si="4"/>
        <v>5596.5931414457709</v>
      </c>
    </row>
    <row r="15" spans="1:11" x14ac:dyDescent="0.2">
      <c r="A15" s="60"/>
      <c r="B15" s="60"/>
      <c r="C15" s="64" t="s">
        <v>39</v>
      </c>
      <c r="D15" s="74">
        <f>SUM(I3:I33)</f>
        <v>42831.734239651378</v>
      </c>
      <c r="E15" s="42" t="s">
        <v>33</v>
      </c>
      <c r="G15" s="53">
        <f t="shared" si="1"/>
        <v>12</v>
      </c>
      <c r="H15" s="56">
        <f t="shared" si="2"/>
        <v>829.64851999999962</v>
      </c>
      <c r="I15" s="49">
        <f t="shared" si="3"/>
        <v>368.37386484637619</v>
      </c>
      <c r="J15" s="45">
        <f t="shared" si="0"/>
        <v>11780</v>
      </c>
      <c r="K15" s="46">
        <f t="shared" si="4"/>
        <v>5230.460879855862</v>
      </c>
    </row>
    <row r="16" spans="1:11" x14ac:dyDescent="0.2">
      <c r="A16" s="60"/>
      <c r="B16" s="60"/>
      <c r="C16" s="64" t="s">
        <v>40</v>
      </c>
      <c r="D16" s="74">
        <f>SUM(K3:K33)</f>
        <v>136577.48781218039</v>
      </c>
      <c r="E16" s="42" t="s">
        <v>33</v>
      </c>
      <c r="G16" s="53">
        <f t="shared" si="1"/>
        <v>13</v>
      </c>
      <c r="H16" s="56">
        <f t="shared" si="2"/>
        <v>829.64851999999962</v>
      </c>
      <c r="I16" s="49">
        <f t="shared" si="3"/>
        <v>344.27464004334217</v>
      </c>
      <c r="J16" s="45">
        <f t="shared" si="0"/>
        <v>11780</v>
      </c>
      <c r="K16" s="46">
        <f t="shared" si="4"/>
        <v>4888.2811961269736</v>
      </c>
    </row>
    <row r="17" spans="7:11" x14ac:dyDescent="0.2">
      <c r="G17" s="53">
        <f t="shared" si="1"/>
        <v>14</v>
      </c>
      <c r="H17" s="56">
        <f t="shared" si="2"/>
        <v>829.64851999999962</v>
      </c>
      <c r="I17" s="49">
        <f t="shared" si="3"/>
        <v>321.75200004050674</v>
      </c>
      <c r="J17" s="45">
        <f t="shared" si="0"/>
        <v>11780</v>
      </c>
      <c r="K17" s="46">
        <f t="shared" si="4"/>
        <v>4568.4870991840871</v>
      </c>
    </row>
    <row r="18" spans="7:11" x14ac:dyDescent="0.2">
      <c r="G18" s="53">
        <f t="shared" si="1"/>
        <v>15</v>
      </c>
      <c r="H18" s="56">
        <f t="shared" si="2"/>
        <v>829.64851999999962</v>
      </c>
      <c r="I18" s="49">
        <f t="shared" si="3"/>
        <v>300.70280377617451</v>
      </c>
      <c r="J18" s="45">
        <f t="shared" si="0"/>
        <v>11780</v>
      </c>
      <c r="K18" s="46">
        <f t="shared" si="4"/>
        <v>4269.6141113869971</v>
      </c>
    </row>
    <row r="19" spans="7:11" x14ac:dyDescent="0.2">
      <c r="G19" s="53">
        <f t="shared" si="1"/>
        <v>16</v>
      </c>
      <c r="H19" s="56">
        <f t="shared" si="2"/>
        <v>829.64851999999962</v>
      </c>
      <c r="I19" s="49">
        <f t="shared" si="3"/>
        <v>281.03065773474253</v>
      </c>
      <c r="J19" s="45">
        <f t="shared" si="0"/>
        <v>11780</v>
      </c>
      <c r="K19" s="46">
        <f t="shared" si="4"/>
        <v>3990.293562043923</v>
      </c>
    </row>
    <row r="20" spans="7:11" x14ac:dyDescent="0.2">
      <c r="G20" s="53">
        <f t="shared" si="1"/>
        <v>17</v>
      </c>
      <c r="H20" s="56">
        <f t="shared" si="2"/>
        <v>829.64851999999962</v>
      </c>
      <c r="I20" s="49">
        <f t="shared" si="3"/>
        <v>262.64547451845101</v>
      </c>
      <c r="J20" s="45">
        <f t="shared" si="0"/>
        <v>11780</v>
      </c>
      <c r="K20" s="46">
        <f t="shared" si="4"/>
        <v>3729.2463196672174</v>
      </c>
    </row>
    <row r="21" spans="7:11" x14ac:dyDescent="0.2">
      <c r="G21" s="53">
        <f t="shared" si="1"/>
        <v>18</v>
      </c>
      <c r="H21" s="56">
        <f t="shared" si="2"/>
        <v>829.64851999999962</v>
      </c>
      <c r="I21" s="49">
        <f t="shared" si="3"/>
        <v>245.46306029761774</v>
      </c>
      <c r="J21" s="45">
        <f t="shared" si="0"/>
        <v>11780</v>
      </c>
      <c r="K21" s="46">
        <f t="shared" si="4"/>
        <v>3485.2769342684278</v>
      </c>
    </row>
    <row r="22" spans="7:11" x14ac:dyDescent="0.2">
      <c r="G22" s="53">
        <f t="shared" si="1"/>
        <v>19</v>
      </c>
      <c r="H22" s="56">
        <f t="shared" si="2"/>
        <v>829.64851999999962</v>
      </c>
      <c r="I22" s="49">
        <f t="shared" si="3"/>
        <v>229.40472925011002</v>
      </c>
      <c r="J22" s="45">
        <f t="shared" si="0"/>
        <v>11780</v>
      </c>
      <c r="K22" s="46">
        <f t="shared" si="4"/>
        <v>3257.2681628676892</v>
      </c>
    </row>
    <row r="23" spans="7:11" x14ac:dyDescent="0.2">
      <c r="G23" s="53">
        <f t="shared" si="1"/>
        <v>20</v>
      </c>
      <c r="H23" s="56">
        <f t="shared" si="2"/>
        <v>829.64851999999962</v>
      </c>
      <c r="I23" s="49">
        <f t="shared" si="3"/>
        <v>214.39694322440189</v>
      </c>
      <c r="J23" s="45">
        <f t="shared" si="0"/>
        <v>11780</v>
      </c>
      <c r="K23" s="46">
        <f t="shared" si="4"/>
        <v>3044.1758531473733</v>
      </c>
    </row>
    <row r="24" spans="7:11" x14ac:dyDescent="0.2">
      <c r="G24" s="53" t="str">
        <f t="shared" si="1"/>
        <v>None</v>
      </c>
      <c r="H24" s="56">
        <f t="shared" si="2"/>
        <v>0</v>
      </c>
      <c r="I24" s="49">
        <f t="shared" si="3"/>
        <v>0</v>
      </c>
      <c r="J24" s="45">
        <f t="shared" si="0"/>
        <v>0</v>
      </c>
      <c r="K24" s="46">
        <f t="shared" si="4"/>
        <v>0</v>
      </c>
    </row>
    <row r="25" spans="7:11" x14ac:dyDescent="0.2">
      <c r="G25" s="53" t="str">
        <f t="shared" si="1"/>
        <v>None</v>
      </c>
      <c r="H25" s="56">
        <f t="shared" si="2"/>
        <v>0</v>
      </c>
      <c r="I25" s="49">
        <f t="shared" si="3"/>
        <v>0</v>
      </c>
      <c r="J25" s="45">
        <f t="shared" si="0"/>
        <v>0</v>
      </c>
      <c r="K25" s="46">
        <f t="shared" si="4"/>
        <v>0</v>
      </c>
    </row>
    <row r="26" spans="7:11" x14ac:dyDescent="0.2">
      <c r="G26" s="53" t="str">
        <f t="shared" si="1"/>
        <v>None</v>
      </c>
      <c r="H26" s="56">
        <f t="shared" si="2"/>
        <v>0</v>
      </c>
      <c r="I26" s="49">
        <f t="shared" si="3"/>
        <v>0</v>
      </c>
      <c r="J26" s="45">
        <f t="shared" si="0"/>
        <v>0</v>
      </c>
      <c r="K26" s="46">
        <f t="shared" si="4"/>
        <v>0</v>
      </c>
    </row>
    <row r="27" spans="7:11" x14ac:dyDescent="0.2">
      <c r="G27" s="53" t="str">
        <f t="shared" si="1"/>
        <v>None</v>
      </c>
      <c r="H27" s="56">
        <f t="shared" si="2"/>
        <v>0</v>
      </c>
      <c r="I27" s="49">
        <f t="shared" si="3"/>
        <v>0</v>
      </c>
      <c r="J27" s="45">
        <f t="shared" si="0"/>
        <v>0</v>
      </c>
      <c r="K27" s="46">
        <f t="shared" si="4"/>
        <v>0</v>
      </c>
    </row>
    <row r="28" spans="7:11" x14ac:dyDescent="0.2">
      <c r="G28" s="53" t="str">
        <f t="shared" si="1"/>
        <v>None</v>
      </c>
      <c r="H28" s="56">
        <f t="shared" si="2"/>
        <v>0</v>
      </c>
      <c r="I28" s="49">
        <f t="shared" si="3"/>
        <v>0</v>
      </c>
      <c r="J28" s="45">
        <f t="shared" si="0"/>
        <v>0</v>
      </c>
      <c r="K28" s="46">
        <f t="shared" si="4"/>
        <v>0</v>
      </c>
    </row>
    <row r="29" spans="7:11" x14ac:dyDescent="0.2">
      <c r="G29" s="53" t="str">
        <f t="shared" si="1"/>
        <v>None</v>
      </c>
      <c r="H29" s="56">
        <f t="shared" si="2"/>
        <v>0</v>
      </c>
      <c r="I29" s="49">
        <f t="shared" si="3"/>
        <v>0</v>
      </c>
      <c r="J29" s="45">
        <f t="shared" si="0"/>
        <v>0</v>
      </c>
      <c r="K29" s="46">
        <f t="shared" si="4"/>
        <v>0</v>
      </c>
    </row>
    <row r="30" spans="7:11" x14ac:dyDescent="0.2">
      <c r="G30" s="53" t="str">
        <f t="shared" si="1"/>
        <v>None</v>
      </c>
      <c r="H30" s="56">
        <f t="shared" si="2"/>
        <v>0</v>
      </c>
      <c r="I30" s="49">
        <f t="shared" si="3"/>
        <v>0</v>
      </c>
      <c r="J30" s="45">
        <f t="shared" si="0"/>
        <v>0</v>
      </c>
      <c r="K30" s="46">
        <f t="shared" si="4"/>
        <v>0</v>
      </c>
    </row>
    <row r="31" spans="7:11" x14ac:dyDescent="0.2">
      <c r="G31" s="53" t="str">
        <f t="shared" si="1"/>
        <v>None</v>
      </c>
      <c r="H31" s="56">
        <f t="shared" si="2"/>
        <v>0</v>
      </c>
      <c r="I31" s="49">
        <f t="shared" si="3"/>
        <v>0</v>
      </c>
      <c r="J31" s="45">
        <f t="shared" si="0"/>
        <v>0</v>
      </c>
      <c r="K31" s="46">
        <f t="shared" si="4"/>
        <v>0</v>
      </c>
    </row>
    <row r="32" spans="7:11" x14ac:dyDescent="0.2">
      <c r="G32" s="53" t="str">
        <f t="shared" si="1"/>
        <v>None</v>
      </c>
      <c r="H32" s="56">
        <f t="shared" si="2"/>
        <v>0</v>
      </c>
      <c r="I32" s="49">
        <f t="shared" si="3"/>
        <v>0</v>
      </c>
      <c r="J32" s="45">
        <f t="shared" si="0"/>
        <v>0</v>
      </c>
      <c r="K32" s="46">
        <f t="shared" si="4"/>
        <v>0</v>
      </c>
    </row>
    <row r="33" spans="7:11" x14ac:dyDescent="0.2">
      <c r="G33" s="54" t="str">
        <f t="shared" si="1"/>
        <v>None</v>
      </c>
      <c r="H33" s="57">
        <f t="shared" si="2"/>
        <v>0</v>
      </c>
      <c r="I33" s="50">
        <f t="shared" si="3"/>
        <v>0</v>
      </c>
      <c r="J33" s="45">
        <f t="shared" si="0"/>
        <v>0</v>
      </c>
      <c r="K33" s="47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5F3-A288-FB43-9DA2-5A805EBF7585}">
  <dimension ref="A1:K33"/>
  <sheetViews>
    <sheetView workbookViewId="0">
      <selection activeCell="J15" sqref="J15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6640625" bestFit="1" customWidth="1"/>
    <col min="4" max="4" width="11.83203125" customWidth="1"/>
    <col min="5" max="5" width="14.6640625" customWidth="1"/>
    <col min="6" max="6" width="10.83203125" style="33"/>
    <col min="8" max="8" width="12" bestFit="1" customWidth="1"/>
  </cols>
  <sheetData>
    <row r="1" spans="1:11" x14ac:dyDescent="0.2">
      <c r="A1" s="58" t="s">
        <v>26</v>
      </c>
      <c r="B1" s="58" t="s">
        <v>2</v>
      </c>
      <c r="C1" s="62" t="s">
        <v>29</v>
      </c>
      <c r="D1" s="62" t="s">
        <v>2</v>
      </c>
      <c r="E1" s="5" t="s">
        <v>27</v>
      </c>
      <c r="G1" s="51"/>
      <c r="H1" s="104" t="s">
        <v>25</v>
      </c>
      <c r="I1" s="105"/>
      <c r="J1" s="108" t="s">
        <v>41</v>
      </c>
      <c r="K1" s="107"/>
    </row>
    <row r="2" spans="1:11" x14ac:dyDescent="0.2">
      <c r="A2" s="59" t="s">
        <v>30</v>
      </c>
      <c r="B2" s="72">
        <f>'SCENARIO 0'!B2</f>
        <v>20</v>
      </c>
      <c r="C2" s="63"/>
      <c r="D2" s="63"/>
      <c r="E2" s="41" t="s">
        <v>31</v>
      </c>
      <c r="G2" s="52" t="s">
        <v>13</v>
      </c>
      <c r="H2" s="55" t="s">
        <v>37</v>
      </c>
      <c r="I2" s="48" t="s">
        <v>38</v>
      </c>
      <c r="J2" s="69" t="s">
        <v>37</v>
      </c>
      <c r="K2" s="44" t="s">
        <v>38</v>
      </c>
    </row>
    <row r="3" spans="1:11" x14ac:dyDescent="0.2">
      <c r="A3" s="60" t="s">
        <v>0</v>
      </c>
      <c r="B3" s="61"/>
      <c r="C3" s="64" t="s">
        <v>0</v>
      </c>
      <c r="D3" s="78">
        <f>LOOKUP(B4,'Input regression PV'!B18:B168,'Input regression PV'!$C$18:$C$168)</f>
        <v>0.13333333333333333</v>
      </c>
      <c r="E3" s="42" t="s">
        <v>28</v>
      </c>
      <c r="G3" s="53">
        <v>0</v>
      </c>
      <c r="H3" s="56">
        <f>IF(G3=0,$D$5+$D$11*$D$10,IF(G3="None",0,$D$6+$D$11*$D$10))</f>
        <v>30352.425999999999</v>
      </c>
      <c r="I3" s="49">
        <f>IF(H3=0,0,H3/(1+$D$7)^G3)</f>
        <v>30352.425999999999</v>
      </c>
      <c r="J3" s="70">
        <f>IF(OR(G3=0,G3=0+$B$18,G3=0+$B$18+$B$18,G3=0+$B$18+$B$18+$B$18),$B$12*$D$15*(1+$D$16)^G3+$D$17+$D$11*$D$10+$B$12*$D$20+($D$21-$B$12)*'SCENARIO 0'!$D$13,IF(G3="None",0,($D$11*$D$10+$B$12*$D$20+($D$21-$B$12)*'SCENARIO 0'!$D$13)))</f>
        <v>114689.64412833472</v>
      </c>
      <c r="K3" s="46">
        <f>IF(J3=0,0,J3/(1+$D$7)^G3)</f>
        <v>114689.64412833472</v>
      </c>
    </row>
    <row r="4" spans="1:11" x14ac:dyDescent="0.2">
      <c r="A4" s="60" t="s">
        <v>42</v>
      </c>
      <c r="B4" s="60">
        <v>20</v>
      </c>
      <c r="C4" s="64"/>
      <c r="D4" s="65"/>
      <c r="E4" s="42" t="s">
        <v>1</v>
      </c>
      <c r="G4" s="53">
        <f>IF(G3&gt;=$B$2,"None",G3+1)</f>
        <v>1</v>
      </c>
      <c r="H4" s="56">
        <f>IF(G4=0,$D$5+$D$10,IF(G4="None",0,$D$6+$D$10))</f>
        <v>729.80852000000004</v>
      </c>
      <c r="I4" s="49">
        <f>IF(H4=0,0,H4/(1+$D$7)^G4)</f>
        <v>682.06403738317761</v>
      </c>
      <c r="J4" s="70">
        <f>IF(OR(G4=0,G4=0+$B$18,G4=0+$B$18+$B$18,G4=0+$B$18+$B$18+$B$18),$B$12*$D$15*(1+$D$16)^G4+$D$17+$D$11*$D$10+$B$12*$D$20+($D$21-$B$12)*'SCENARIO 0'!$D$13,IF(G4="None",0,($D$11*$D$10+$B$12*$D$20+($D$21-$B$12)*'SCENARIO 0'!$D$13)))</f>
        <v>7657</v>
      </c>
      <c r="K4" s="46">
        <f>IF(J4=0,0,J4/(1+$D$7)^G4)</f>
        <v>7156.0747663551401</v>
      </c>
    </row>
    <row r="5" spans="1:11" x14ac:dyDescent="0.2">
      <c r="A5" s="60"/>
      <c r="B5" s="60"/>
      <c r="C5" s="64"/>
      <c r="D5" s="73">
        <f>LOOKUP(B4,'Input regression PV'!B18:B168,'Input regression PV'!$D$18:$D$168)</f>
        <v>30290.425999999999</v>
      </c>
      <c r="E5" s="42" t="s">
        <v>33</v>
      </c>
      <c r="G5" s="53">
        <f t="shared" ref="G5:G33" si="0">IF(G4&gt;=$B$2,"None",G4+1)</f>
        <v>2</v>
      </c>
      <c r="H5" s="56">
        <f t="shared" ref="H5:H33" si="1">IF(G5=0,$D$5+$D$10,IF(G5="None",0,$D$6+$D$10))</f>
        <v>729.80852000000004</v>
      </c>
      <c r="I5" s="49">
        <f t="shared" ref="I5:I33" si="2">IF(H5=0,0,H5/(1+$D$7)^G5)</f>
        <v>637.4430255917548</v>
      </c>
      <c r="J5" s="70">
        <f>IF(OR(G5=0,G5=0+$B$18,G5=0+$B$18+$B$18,G5=0+$B$18+$B$18+$B$18),$B$12*$D$15*(1+$D$16)^G5+$D$17+$D$11*$D$10+$B$12*$D$20+($D$21-$B$12)*'SCENARIO 0'!$D$13,IF(G5="None",0,($D$11*$D$10+$B$12*$D$20+($D$21-$B$12)*'SCENARIO 0'!$D$13)))</f>
        <v>7657</v>
      </c>
      <c r="K5" s="46">
        <f t="shared" ref="K5:K33" si="3">IF(J5=0,0,J5/(1+$D$7)^G5)</f>
        <v>6687.9203423879817</v>
      </c>
    </row>
    <row r="6" spans="1:11" x14ac:dyDescent="0.2">
      <c r="A6" s="60"/>
      <c r="B6" s="60"/>
      <c r="C6" s="64"/>
      <c r="D6" s="74">
        <f>0.02*D5</f>
        <v>605.80852000000004</v>
      </c>
      <c r="E6" s="42" t="s">
        <v>33</v>
      </c>
      <c r="G6" s="53">
        <f t="shared" si="0"/>
        <v>3</v>
      </c>
      <c r="H6" s="56">
        <f t="shared" si="1"/>
        <v>729.80852000000004</v>
      </c>
      <c r="I6" s="49">
        <f t="shared" si="2"/>
        <v>595.74114541285485</v>
      </c>
      <c r="J6" s="70">
        <f>IF(OR(G6=0,G6=0+$B$18,G6=0+$B$18+$B$18,G6=0+$B$18+$B$18+$B$18),$B$12*$D$15*(1+$D$16)^G6+$D$17+$D$11*$D$10+$B$12*$D$20+($D$21-$B$12)*'SCENARIO 0'!$D$13,IF(G6="None",0,($D$11*$D$10+$B$12*$D$20+($D$21-$B$12)*'SCENARIO 0'!$D$13)))</f>
        <v>7657</v>
      </c>
      <c r="K6" s="46">
        <f t="shared" si="3"/>
        <v>6250.3928433532528</v>
      </c>
    </row>
    <row r="7" spans="1:11" x14ac:dyDescent="0.2">
      <c r="A7" s="60"/>
      <c r="B7" s="60"/>
      <c r="C7" s="64" t="s">
        <v>32</v>
      </c>
      <c r="D7" s="75">
        <f>'SCENARIO 0'!D7</f>
        <v>7.0000000000000007E-2</v>
      </c>
      <c r="E7" s="42" t="s">
        <v>28</v>
      </c>
      <c r="G7" s="53">
        <f t="shared" si="0"/>
        <v>4</v>
      </c>
      <c r="H7" s="56">
        <f t="shared" si="1"/>
        <v>729.80852000000004</v>
      </c>
      <c r="I7" s="49">
        <f t="shared" si="2"/>
        <v>556.76742561949061</v>
      </c>
      <c r="J7" s="70">
        <f>IF(OR(G7=0,G7=0+$B$18,G7=0+$B$18+$B$18,G7=0+$B$18+$B$18+$B$18),$B$12*$D$15*(1+$D$16)^G7+$D$17+$D$11*$D$10+$B$12*$D$20+($D$21-$B$12)*'SCENARIO 0'!$D$13,IF(G7="None",0,($D$11*$D$10+$B$12*$D$20+($D$21-$B$12)*'SCENARIO 0'!$D$13)))</f>
        <v>7657</v>
      </c>
      <c r="K7" s="46">
        <f t="shared" si="3"/>
        <v>5841.4886386479002</v>
      </c>
    </row>
    <row r="8" spans="1:11" x14ac:dyDescent="0.2">
      <c r="A8" s="60"/>
      <c r="B8" s="60">
        <v>400</v>
      </c>
      <c r="C8" s="64"/>
      <c r="D8" s="66"/>
      <c r="E8" s="42" t="s">
        <v>34</v>
      </c>
      <c r="G8" s="53">
        <f t="shared" si="0"/>
        <v>5</v>
      </c>
      <c r="H8" s="56">
        <f t="shared" si="1"/>
        <v>729.80852000000004</v>
      </c>
      <c r="I8" s="49">
        <f t="shared" si="2"/>
        <v>520.34338842943043</v>
      </c>
      <c r="J8" s="70">
        <f>IF(OR(G8=0,G8=0+$B$18,G8=0+$B$18+$B$18,G8=0+$B$18+$B$18+$B$18),$B$12*$D$15*(1+$D$16)^G8+$D$17+$D$11*$D$10+$B$12*$D$20+($D$21-$B$12)*'SCENARIO 0'!$D$13,IF(G8="None",0,($D$11*$D$10+$B$12*$D$20+($D$21-$B$12)*'SCENARIO 0'!$D$13)))</f>
        <v>7657</v>
      </c>
      <c r="K8" s="46">
        <f t="shared" si="3"/>
        <v>5459.3351763064484</v>
      </c>
    </row>
    <row r="9" spans="1:11" x14ac:dyDescent="0.2">
      <c r="A9" s="60"/>
      <c r="B9" s="60"/>
      <c r="C9" s="64"/>
      <c r="D9" s="81">
        <f>'SCENARIO 0'!D9</f>
        <v>0.31</v>
      </c>
      <c r="E9" s="42" t="s">
        <v>35</v>
      </c>
      <c r="G9" s="53">
        <f t="shared" si="0"/>
        <v>6</v>
      </c>
      <c r="H9" s="56">
        <f t="shared" si="1"/>
        <v>729.80852000000004</v>
      </c>
      <c r="I9" s="49">
        <f t="shared" si="2"/>
        <v>486.30223217703781</v>
      </c>
      <c r="J9" s="70">
        <f>IF(OR(G9=0,G9=0+$B$18,G9=0+$B$18+$B$18,G9=0+$B$18+$B$18+$B$18),$B$12*$D$15*(1+$D$16)^G9+$D$17+$D$11*$D$10+$B$12*$D$20+($D$21-$B$12)*'SCENARIO 0'!$D$13,IF(G9="None",0,($D$11*$D$10+$B$12*$D$20+($D$21-$B$12)*'SCENARIO 0'!$D$13)))</f>
        <v>7657</v>
      </c>
      <c r="K9" s="46">
        <f t="shared" si="3"/>
        <v>5102.1824077630363</v>
      </c>
    </row>
    <row r="10" spans="1:11" x14ac:dyDescent="0.2">
      <c r="A10" s="60"/>
      <c r="B10" s="60"/>
      <c r="C10" s="64"/>
      <c r="D10" s="76">
        <f>B8*D9</f>
        <v>124</v>
      </c>
      <c r="E10" s="42" t="s">
        <v>33</v>
      </c>
      <c r="G10" s="53">
        <f t="shared" si="0"/>
        <v>7</v>
      </c>
      <c r="H10" s="56">
        <f t="shared" si="1"/>
        <v>729.80852000000004</v>
      </c>
      <c r="I10" s="49">
        <f t="shared" si="2"/>
        <v>454.4880674551755</v>
      </c>
      <c r="J10" s="70">
        <f>IF(OR(G10=0,G10=0+$B$18,G10=0+$B$18+$B$18,G10=0+$B$18+$B$18+$B$18),$B$12*$D$15*(1+$D$16)^G10+$D$17+$D$11*$D$10+$B$12*$D$20+($D$21-$B$12)*'SCENARIO 0'!$D$13,IF(G10="None",0,($D$11*$D$10+$B$12*$D$20+($D$21-$B$12)*'SCENARIO 0'!$D$13)))</f>
        <v>7657</v>
      </c>
      <c r="K10" s="46">
        <f t="shared" si="3"/>
        <v>4768.3947736103146</v>
      </c>
    </row>
    <row r="11" spans="1:11" x14ac:dyDescent="0.2">
      <c r="A11" s="60"/>
      <c r="B11" s="60"/>
      <c r="C11" s="64" t="s">
        <v>36</v>
      </c>
      <c r="D11" s="75">
        <f>'SCENARIO 0'!D11</f>
        <v>0.5</v>
      </c>
      <c r="E11" s="42" t="s">
        <v>28</v>
      </c>
      <c r="G11" s="53">
        <f t="shared" si="0"/>
        <v>8</v>
      </c>
      <c r="H11" s="56">
        <f t="shared" si="1"/>
        <v>729.80852000000004</v>
      </c>
      <c r="I11" s="49">
        <f t="shared" si="2"/>
        <v>424.75520322913599</v>
      </c>
      <c r="J11" s="70">
        <f>IF(OR(G11=0,G11=0+$B$18,G11=0+$B$18+$B$18,G11=0+$B$18+$B$18+$B$18),$B$12*$D$15*(1+$D$16)^G11+$D$17+$D$11*$D$10+$B$12*$D$20+($D$21-$B$12)*'SCENARIO 0'!$D$13,IF(G11="None",0,($D$11*$D$10+$B$12*$D$20+($D$21-$B$12)*'SCENARIO 0'!$D$13)))</f>
        <v>7657</v>
      </c>
      <c r="K11" s="46">
        <f t="shared" si="3"/>
        <v>4456.4437136544993</v>
      </c>
    </row>
    <row r="12" spans="1:11" x14ac:dyDescent="0.2">
      <c r="A12" s="60"/>
      <c r="B12" s="60">
        <v>10</v>
      </c>
      <c r="C12" s="64"/>
      <c r="D12" s="64"/>
      <c r="E12" s="42" t="s">
        <v>43</v>
      </c>
      <c r="G12" s="53">
        <f t="shared" si="0"/>
        <v>9</v>
      </c>
      <c r="H12" s="56">
        <f t="shared" si="1"/>
        <v>729.80852000000004</v>
      </c>
      <c r="I12" s="49">
        <f t="shared" si="2"/>
        <v>396.96747965339807</v>
      </c>
      <c r="J12" s="70">
        <f>IF(OR(G12=0,G12=0+$B$18,G12=0+$B$18+$B$18,G12=0+$B$18+$B$18+$B$18),$B$12*$D$15*(1+$D$16)^G12+$D$17+$D$11*$D$10+$B$12*$D$20+($D$21-$B$12)*'SCENARIO 0'!$D$13,IF(G12="None",0,($D$11*$D$10+$B$12*$D$20+($D$21-$B$12)*'SCENARIO 0'!$D$13)))</f>
        <v>7657</v>
      </c>
      <c r="K12" s="46">
        <f t="shared" si="3"/>
        <v>4164.9006669668215</v>
      </c>
    </row>
    <row r="13" spans="1:11" x14ac:dyDescent="0.2">
      <c r="A13" s="60"/>
      <c r="B13" s="60"/>
      <c r="C13" s="64"/>
      <c r="D13" s="76">
        <f>'Battery cost trend'!I8</f>
        <v>816.9387010694561</v>
      </c>
      <c r="E13" s="42" t="s">
        <v>35</v>
      </c>
      <c r="G13" s="53">
        <f t="shared" si="0"/>
        <v>10</v>
      </c>
      <c r="H13" s="56">
        <f t="shared" si="1"/>
        <v>729.80852000000004</v>
      </c>
      <c r="I13" s="49">
        <f t="shared" si="2"/>
        <v>370.99764453588608</v>
      </c>
      <c r="J13" s="70">
        <f>IF(OR(G13=0,G13=0+$B$18,G13=0+$B$18+$B$18,G13=0+$B$18+$B$18+$B$18),$B$12*$D$15*(1+$D$16)^G13+$D$17+$D$11*$D$10+$B$12*$D$20+($D$21-$B$12)*'SCENARIO 0'!$D$13,IF(G13="None",0,($D$11*$D$10+$B$12*$D$20+($D$21-$B$12)*'SCENARIO 0'!$D$13)))</f>
        <v>7657</v>
      </c>
      <c r="K13" s="46">
        <f t="shared" si="3"/>
        <v>3892.4305298755344</v>
      </c>
    </row>
    <row r="14" spans="1:11" x14ac:dyDescent="0.2">
      <c r="A14" s="60"/>
      <c r="B14" s="60">
        <v>12</v>
      </c>
      <c r="C14" s="64"/>
      <c r="D14" s="64"/>
      <c r="E14" s="42" t="s">
        <v>34</v>
      </c>
      <c r="G14" s="53">
        <f t="shared" si="0"/>
        <v>11</v>
      </c>
      <c r="H14" s="56">
        <f t="shared" si="1"/>
        <v>729.80852000000004</v>
      </c>
      <c r="I14" s="49">
        <f t="shared" si="2"/>
        <v>346.72677059428599</v>
      </c>
      <c r="J14" s="70">
        <f>IF(OR(G14=0,G14=0+$B$18,G14=0+$B$18+$B$18,G14=0+$B$18+$B$18+$B$18),$B$12*$D$15*(1+$D$16)^G14+$D$17+$D$11*$D$10+$B$12*$D$20+($D$21-$B$12)*'SCENARIO 0'!$D$13,IF(G14="None",0,($D$11*$D$10+$B$12*$D$20+($D$21-$B$12)*'SCENARIO 0'!$D$13)))</f>
        <v>7657</v>
      </c>
      <c r="K14" s="46">
        <f t="shared" si="3"/>
        <v>3637.7855419397511</v>
      </c>
    </row>
    <row r="15" spans="1:11" x14ac:dyDescent="0.2">
      <c r="A15" s="60"/>
      <c r="B15" s="60"/>
      <c r="C15" s="64"/>
      <c r="D15" s="76">
        <f>D13*B14</f>
        <v>9803.2644128334723</v>
      </c>
      <c r="E15" s="42" t="s">
        <v>33</v>
      </c>
      <c r="G15" s="53">
        <f t="shared" si="0"/>
        <v>12</v>
      </c>
      <c r="H15" s="56">
        <f t="shared" si="1"/>
        <v>729.80852000000004</v>
      </c>
      <c r="I15" s="49">
        <f t="shared" si="2"/>
        <v>324.04371083578138</v>
      </c>
      <c r="J15" s="70">
        <f>IF(OR(G15=0,G15=0+$B$18,G15=0+$B$18+$B$18,G15=0+$B$18+$B$18+$B$18),$B$12*$D$15*(1+$D$16)^G15+$D$17+$D$11*$D$10+$B$12*$D$20+($D$21-$B$12)*'SCENARIO 0'!$D$13,IF(G15="None",0,($D$11*$D$10+$B$12*$D$20+($D$21-$B$12)*'SCENARIO 0'!$D$13)))</f>
        <v>7657</v>
      </c>
      <c r="K15" s="46">
        <f t="shared" si="3"/>
        <v>3399.7995719063101</v>
      </c>
    </row>
    <row r="16" spans="1:11" x14ac:dyDescent="0.2">
      <c r="A16" s="60"/>
      <c r="B16" s="60"/>
      <c r="C16" s="64"/>
      <c r="D16" s="77">
        <f>'Battery cost trend'!B28</f>
        <v>-7.1617328488423518E-2</v>
      </c>
      <c r="E16" s="42" t="s">
        <v>28</v>
      </c>
      <c r="G16" s="53">
        <f t="shared" si="0"/>
        <v>13</v>
      </c>
      <c r="H16" s="56">
        <f t="shared" si="1"/>
        <v>729.80852000000004</v>
      </c>
      <c r="I16" s="49">
        <f t="shared" si="2"/>
        <v>302.84458956615077</v>
      </c>
      <c r="J16" s="70">
        <f>IF(OR(G16=0,G16=0+$B$18,G16=0+$B$18+$B$18,G16=0+$B$18+$B$18+$B$18),$B$12*$D$15*(1+$D$16)^G16+$D$17+$D$11*$D$10+$B$12*$D$20+($D$21-$B$12)*'SCENARIO 0'!$D$13,IF(G16="None",0,($D$11*$D$10+$B$12*$D$20+($D$21-$B$12)*'SCENARIO 0'!$D$13)))</f>
        <v>7657</v>
      </c>
      <c r="K16" s="46">
        <f t="shared" si="3"/>
        <v>3177.3827774825327</v>
      </c>
    </row>
    <row r="17" spans="1:11" x14ac:dyDescent="0.2">
      <c r="A17" s="60"/>
      <c r="B17" s="60"/>
      <c r="C17" s="64"/>
      <c r="D17" s="66">
        <v>9000</v>
      </c>
      <c r="E17" s="42" t="s">
        <v>33</v>
      </c>
      <c r="G17" s="53">
        <f t="shared" si="0"/>
        <v>14</v>
      </c>
      <c r="H17" s="56">
        <f t="shared" si="1"/>
        <v>729.80852000000004</v>
      </c>
      <c r="I17" s="49">
        <f t="shared" si="2"/>
        <v>283.03232669733717</v>
      </c>
      <c r="J17" s="70">
        <f>IF(OR(G17=0,G17=0+$B$18,G17=0+$B$18+$B$18,G17=0+$B$18+$B$18+$B$18),$B$12*$D$15*(1+$D$16)^G17+$D$17+$D$11*$D$10+$B$12*$D$20+($D$21-$B$12)*'SCENARIO 0'!$D$13,IF(G17="None",0,($D$11*$D$10+$B$12*$D$20+($D$21-$B$12)*'SCENARIO 0'!$D$13)))</f>
        <v>7657</v>
      </c>
      <c r="K17" s="46">
        <f t="shared" si="3"/>
        <v>2969.5166144696568</v>
      </c>
    </row>
    <row r="18" spans="1:11" x14ac:dyDescent="0.2">
      <c r="A18" s="60"/>
      <c r="B18" s="60">
        <v>15</v>
      </c>
      <c r="C18" s="64"/>
      <c r="D18" s="64"/>
      <c r="E18" s="42" t="s">
        <v>31</v>
      </c>
      <c r="G18" s="53">
        <f t="shared" si="0"/>
        <v>15</v>
      </c>
      <c r="H18" s="56">
        <f t="shared" si="1"/>
        <v>729.80852000000004</v>
      </c>
      <c r="I18" s="49">
        <f t="shared" si="2"/>
        <v>264.51619317508147</v>
      </c>
      <c r="J18" s="70">
        <f>IF(OR(G18=0,G18=0+$B$18,G18=0+$B$18+$B$18,G18=0+$B$18+$B$18+$B$18),$B$12*$D$15*(1+$D$16)^G18+$D$17+$D$11*$D$10+$B$12*$D$20+($D$21-$B$12)*'SCENARIO 0'!$D$13,IF(G18="None",0,($D$11*$D$10+$B$12*$D$20+($D$21-$B$12)*'SCENARIO 0'!$D$13)))</f>
        <v>48814.042621323184</v>
      </c>
      <c r="K18" s="46">
        <f t="shared" si="3"/>
        <v>17692.455450751084</v>
      </c>
    </row>
    <row r="19" spans="1:11" x14ac:dyDescent="0.2">
      <c r="A19" s="60"/>
      <c r="B19" s="60"/>
      <c r="C19" s="64" t="s">
        <v>60</v>
      </c>
      <c r="D19" s="66">
        <v>1200</v>
      </c>
      <c r="E19" s="42" t="s">
        <v>62</v>
      </c>
      <c r="G19" s="53">
        <f t="shared" si="0"/>
        <v>16</v>
      </c>
      <c r="H19" s="56">
        <f t="shared" si="1"/>
        <v>729.80852000000004</v>
      </c>
      <c r="I19" s="49">
        <f t="shared" si="2"/>
        <v>247.21139549073035</v>
      </c>
      <c r="J19" s="70">
        <f>IF(OR(G19=0,G19=0+$B$18,G19=0+$B$18+$B$18,G19=0+$B$18+$B$18+$B$18),$B$12*$D$15*(1+$D$16)^G19+$D$17+$D$11*$D$10+$B$12*$D$20+($D$21-$B$12)*'SCENARIO 0'!$D$13,IF(G19="None",0,($D$11*$D$10+$B$12*$D$20+($D$21-$B$12)*'SCENARIO 0'!$D$13)))</f>
        <v>7657</v>
      </c>
      <c r="K19" s="46">
        <f t="shared" si="3"/>
        <v>2593.6908153285499</v>
      </c>
    </row>
    <row r="20" spans="1:11" x14ac:dyDescent="0.2">
      <c r="A20" s="60"/>
      <c r="B20" s="60"/>
      <c r="C20" s="64" t="s">
        <v>63</v>
      </c>
      <c r="D20" s="76">
        <f>D19*D9</f>
        <v>372</v>
      </c>
      <c r="E20" s="42" t="s">
        <v>61</v>
      </c>
      <c r="G20" s="53">
        <f t="shared" si="0"/>
        <v>17</v>
      </c>
      <c r="H20" s="56">
        <f t="shared" si="1"/>
        <v>729.80852000000004</v>
      </c>
      <c r="I20" s="49">
        <f t="shared" si="2"/>
        <v>231.03868737451435</v>
      </c>
      <c r="J20" s="70">
        <f>IF(OR(G20=0,G20=0+$B$18,G20=0+$B$18+$B$18,G20=0+$B$18+$B$18+$B$18),$B$12*$D$15*(1+$D$16)^G20+$D$17+$D$11*$D$10+$B$12*$D$20+($D$21-$B$12)*'SCENARIO 0'!$D$13,IF(G20="None",0,($D$11*$D$10+$B$12*$D$20+($D$21-$B$12)*'SCENARIO 0'!$D$13)))</f>
        <v>7657</v>
      </c>
      <c r="K20" s="46">
        <f t="shared" si="3"/>
        <v>2424.0101077836916</v>
      </c>
    </row>
    <row r="21" spans="1:11" x14ac:dyDescent="0.2">
      <c r="A21" s="60"/>
      <c r="B21" s="60"/>
      <c r="C21" s="64" t="s">
        <v>64</v>
      </c>
      <c r="D21">
        <f>'SCENARIO 0'!D14</f>
        <v>15</v>
      </c>
      <c r="E21" s="42" t="s">
        <v>43</v>
      </c>
      <c r="G21" s="53">
        <f t="shared" si="0"/>
        <v>18</v>
      </c>
      <c r="H21" s="56">
        <f t="shared" si="1"/>
        <v>729.80852000000004</v>
      </c>
      <c r="I21" s="49">
        <f t="shared" si="2"/>
        <v>215.92400689206949</v>
      </c>
      <c r="J21" s="70">
        <f>IF(OR(G21=0,G21=0+$B$18,G21=0+$B$18+$B$18,G21=0+$B$18+$B$18+$B$18),$B$12*$D$15*(1+$D$16)^G21+$D$17+$D$11*$D$10+$B$12*$D$20+($D$21-$B$12)*'SCENARIO 0'!$D$13,IF(G21="None",0,($D$11*$D$10+$B$12*$D$20+($D$21-$B$12)*'SCENARIO 0'!$D$13)))</f>
        <v>7657</v>
      </c>
      <c r="K21" s="46">
        <f t="shared" si="3"/>
        <v>2265.4300072744782</v>
      </c>
    </row>
    <row r="22" spans="1:11" x14ac:dyDescent="0.2">
      <c r="A22" s="60"/>
      <c r="B22" s="60"/>
      <c r="C22" s="64" t="s">
        <v>39</v>
      </c>
      <c r="D22" s="74">
        <f>SUM(I3:I33)</f>
        <v>38084.027857379064</v>
      </c>
      <c r="E22" s="42" t="s">
        <v>33</v>
      </c>
      <c r="G22" s="53">
        <f t="shared" si="0"/>
        <v>19</v>
      </c>
      <c r="H22" s="56">
        <f t="shared" si="1"/>
        <v>729.80852000000004</v>
      </c>
      <c r="I22" s="49">
        <f t="shared" si="2"/>
        <v>201.79813728230792</v>
      </c>
      <c r="J22" s="70">
        <f>IF(OR(G22=0,G22=0+$B$18,G22=0+$B$18+$B$18,G22=0+$B$18+$B$18+$B$18),$B$12*$D$15*(1+$D$16)^G22+$D$17+$D$11*$D$10+$B$12*$D$20+($D$21-$B$12)*'SCENARIO 0'!$D$13,IF(G22="None",0,($D$11*$D$10+$B$12*$D$20+($D$21-$B$12)*'SCENARIO 0'!$D$13)))</f>
        <v>7657</v>
      </c>
      <c r="K22" s="46">
        <f t="shared" si="3"/>
        <v>2117.2243058639979</v>
      </c>
    </row>
    <row r="23" spans="1:11" x14ac:dyDescent="0.2">
      <c r="A23" s="60"/>
      <c r="B23" s="60"/>
      <c r="C23" s="64" t="s">
        <v>40</v>
      </c>
      <c r="D23" s="74">
        <f>SUM(K3:K33)</f>
        <v>210725.21748460151</v>
      </c>
      <c r="E23" s="42" t="s">
        <v>33</v>
      </c>
      <c r="G23" s="53">
        <f t="shared" si="0"/>
        <v>20</v>
      </c>
      <c r="H23" s="56">
        <f t="shared" si="1"/>
        <v>729.80852000000004</v>
      </c>
      <c r="I23" s="49">
        <f t="shared" si="2"/>
        <v>188.59638998346537</v>
      </c>
      <c r="J23" s="70">
        <f>IF(OR(G23=0,G23=0+$B$18,G23=0+$B$18+$B$18,G23=0+$B$18+$B$18+$B$18),$B$12*$D$15*(1+$D$16)^G23+$D$17+$D$11*$D$10+$B$12*$D$20+($D$21-$B$12)*'SCENARIO 0'!$D$13,IF(G23="None",0,($D$11*$D$10+$B$12*$D$20+($D$21-$B$12)*'SCENARIO 0'!$D$13)))</f>
        <v>7657</v>
      </c>
      <c r="K23" s="46">
        <f t="shared" si="3"/>
        <v>1978.7143045457926</v>
      </c>
    </row>
    <row r="24" spans="1:11" x14ac:dyDescent="0.2">
      <c r="A24" s="60"/>
      <c r="B24" s="60"/>
      <c r="C24" s="64"/>
      <c r="D24" s="10"/>
      <c r="E24" s="42"/>
      <c r="G24" s="53" t="str">
        <f t="shared" si="0"/>
        <v>None</v>
      </c>
      <c r="H24" s="56">
        <f t="shared" si="1"/>
        <v>0</v>
      </c>
      <c r="I24" s="49">
        <f t="shared" si="2"/>
        <v>0</v>
      </c>
      <c r="J24" s="70">
        <f>IF(OR(G24=0,G24=0+$B$18,G24=0+$B$18+$B$18,G24=0+$B$18+$B$18+$B$18),$B$12*$D$15*(1+$D$16)^G24+$D$17+$D$11*$D$10+$B$12*$D$20+($D$21-$B$12)*'SCENARIO 0'!$D$13,IF(G24="None",0,($D$11*$D$10+$B$12*$D$20+($D$21-$B$12)*'SCENARIO 0'!$D$13)))</f>
        <v>0</v>
      </c>
      <c r="K24" s="46">
        <f t="shared" si="3"/>
        <v>0</v>
      </c>
    </row>
    <row r="25" spans="1:11" x14ac:dyDescent="0.2">
      <c r="G25" s="53" t="str">
        <f t="shared" si="0"/>
        <v>None</v>
      </c>
      <c r="H25" s="56">
        <f t="shared" si="1"/>
        <v>0</v>
      </c>
      <c r="I25" s="49">
        <f t="shared" si="2"/>
        <v>0</v>
      </c>
      <c r="J25" s="70">
        <f>IF(OR(G25=0,G25=0+$B$18,G25=0+$B$18+$B$18,G25=0+$B$18+$B$18+$B$18),$B$12*$D$15*(1+$D$16)^G25+$D$17+$D$11*$D$10+$B$12*$D$20+($D$21-$B$12)*'SCENARIO 0'!$D$13,IF(G25="None",0,($D$11*$D$10+$B$12*$D$20+($D$21-$B$12)*'SCENARIO 0'!$D$13)))</f>
        <v>0</v>
      </c>
      <c r="K25" s="46">
        <f t="shared" si="3"/>
        <v>0</v>
      </c>
    </row>
    <row r="26" spans="1:11" x14ac:dyDescent="0.2">
      <c r="G26" s="53" t="str">
        <f t="shared" si="0"/>
        <v>None</v>
      </c>
      <c r="H26" s="56">
        <f t="shared" si="1"/>
        <v>0</v>
      </c>
      <c r="I26" s="49">
        <f t="shared" si="2"/>
        <v>0</v>
      </c>
      <c r="J26" s="70">
        <f>IF(OR(G26=0,G26=0+$B$18,G26=0+$B$18+$B$18,G26=0+$B$18+$B$18+$B$18),$B$12*$D$15*(1+$D$16)^G26+$D$17+$D$11*$D$10+$B$12*$D$20+($D$21-$B$12)*'SCENARIO 0'!$D$13,IF(G26="None",0,($D$11*$D$10+$B$12*$D$20+($D$21-$B$12)*'SCENARIO 0'!$D$13)))</f>
        <v>0</v>
      </c>
      <c r="K26" s="46">
        <f t="shared" si="3"/>
        <v>0</v>
      </c>
    </row>
    <row r="27" spans="1:11" x14ac:dyDescent="0.2">
      <c r="G27" s="53" t="str">
        <f t="shared" si="0"/>
        <v>None</v>
      </c>
      <c r="H27" s="56">
        <f t="shared" si="1"/>
        <v>0</v>
      </c>
      <c r="I27" s="49">
        <f t="shared" si="2"/>
        <v>0</v>
      </c>
      <c r="J27" s="70">
        <f>IF(OR(G27=0,G27=0+$B$18,G27=0+$B$18+$B$18,G27=0+$B$18+$B$18+$B$18),$B$12*$D$15*(1+$D$16)^G27+$D$17+$D$11*$D$10+$B$12*$D$20+($D$21-$B$12)*'SCENARIO 0'!$D$13,IF(G27="None",0,($D$11*$D$10+$B$12*$D$20+($D$21-$B$12)*'SCENARIO 0'!$D$13)))</f>
        <v>0</v>
      </c>
      <c r="K27" s="46">
        <f t="shared" si="3"/>
        <v>0</v>
      </c>
    </row>
    <row r="28" spans="1:11" x14ac:dyDescent="0.2">
      <c r="G28" s="53" t="str">
        <f t="shared" si="0"/>
        <v>None</v>
      </c>
      <c r="H28" s="56">
        <f t="shared" si="1"/>
        <v>0</v>
      </c>
      <c r="I28" s="49">
        <f t="shared" si="2"/>
        <v>0</v>
      </c>
      <c r="J28" s="70">
        <f>IF(OR(G28=0,G28=0+$B$18,G28=0+$B$18+$B$18,G28=0+$B$18+$B$18+$B$18),$B$12*$D$15*(1+$D$16)^G28+$D$17+$D$11*$D$10+$B$12*$D$20+($D$21-$B$12)*'SCENARIO 0'!$D$13,IF(G28="None",0,($D$11*$D$10+$B$12*$D$20+($D$21-$B$12)*'SCENARIO 0'!$D$13)))</f>
        <v>0</v>
      </c>
      <c r="K28" s="46">
        <f t="shared" si="3"/>
        <v>0</v>
      </c>
    </row>
    <row r="29" spans="1:11" x14ac:dyDescent="0.2">
      <c r="G29" s="53" t="str">
        <f t="shared" si="0"/>
        <v>None</v>
      </c>
      <c r="H29" s="56">
        <f t="shared" si="1"/>
        <v>0</v>
      </c>
      <c r="I29" s="49">
        <f t="shared" si="2"/>
        <v>0</v>
      </c>
      <c r="J29" s="70">
        <f>IF(OR(G29=0,G29=0+$B$18,G29=0+$B$18+$B$18,G29=0+$B$18+$B$18+$B$18),$B$12*$D$15*(1+$D$16)^G29+$D$17+$D$11*$D$10+$B$12*$D$20+($D$21-$B$12)*'SCENARIO 0'!$D$13,IF(G29="None",0,($D$11*$D$10+$B$12*$D$20+($D$21-$B$12)*'SCENARIO 0'!$D$13)))</f>
        <v>0</v>
      </c>
      <c r="K29" s="46">
        <f t="shared" si="3"/>
        <v>0</v>
      </c>
    </row>
    <row r="30" spans="1:11" x14ac:dyDescent="0.2">
      <c r="G30" s="53" t="str">
        <f t="shared" si="0"/>
        <v>None</v>
      </c>
      <c r="H30" s="56">
        <f t="shared" si="1"/>
        <v>0</v>
      </c>
      <c r="I30" s="49">
        <f t="shared" si="2"/>
        <v>0</v>
      </c>
      <c r="J30" s="70">
        <f>IF(OR(G30=0,G30=0+$B$18,G30=0+$B$18+$B$18,G30=0+$B$18+$B$18+$B$18),$B$12*$D$15*(1+$D$16)^G30+$D$17+$D$11*$D$10+$B$12*$D$20+($D$21-$B$12)*'SCENARIO 0'!$D$13,IF(G30="None",0,($D$11*$D$10+$B$12*$D$20+($D$21-$B$12)*'SCENARIO 0'!$D$13)))</f>
        <v>0</v>
      </c>
      <c r="K30" s="46">
        <f t="shared" si="3"/>
        <v>0</v>
      </c>
    </row>
    <row r="31" spans="1:11" x14ac:dyDescent="0.2">
      <c r="G31" s="53" t="str">
        <f t="shared" si="0"/>
        <v>None</v>
      </c>
      <c r="H31" s="56">
        <f t="shared" si="1"/>
        <v>0</v>
      </c>
      <c r="I31" s="49">
        <f t="shared" si="2"/>
        <v>0</v>
      </c>
      <c r="J31" s="70">
        <f>IF(OR(G31=0,G31=0+$B$18,G31=0+$B$18+$B$18,G31=0+$B$18+$B$18+$B$18),$B$12*$D$15*(1+$D$16)^G31+$D$17+$D$11*$D$10+$B$12*$D$20+($D$21-$B$12)*'SCENARIO 0'!$D$13,IF(G31="None",0,($D$11*$D$10+$B$12*$D$20+($D$21-$B$12)*'SCENARIO 0'!$D$13)))</f>
        <v>0</v>
      </c>
      <c r="K31" s="46">
        <f t="shared" si="3"/>
        <v>0</v>
      </c>
    </row>
    <row r="32" spans="1:11" x14ac:dyDescent="0.2">
      <c r="G32" s="53" t="str">
        <f t="shared" si="0"/>
        <v>None</v>
      </c>
      <c r="H32" s="56">
        <f t="shared" si="1"/>
        <v>0</v>
      </c>
      <c r="I32" s="49">
        <f t="shared" si="2"/>
        <v>0</v>
      </c>
      <c r="J32" s="70">
        <f>IF(OR(G32=0,G32=0+$B$18,G32=0+$B$18+$B$18,G32=0+$B$18+$B$18+$B$18),$B$12*$D$15*(1+$D$16)^G32+$D$17+$D$11*$D$10+$B$12*$D$20+($D$21-$B$12)*'SCENARIO 0'!$D$13,IF(G32="None",0,($D$11*$D$10+$B$12*$D$20+($D$21-$B$12)*'SCENARIO 0'!$D$13)))</f>
        <v>0</v>
      </c>
      <c r="K32" s="46">
        <f t="shared" si="3"/>
        <v>0</v>
      </c>
    </row>
    <row r="33" spans="7:11" x14ac:dyDescent="0.2">
      <c r="G33" s="54" t="str">
        <f t="shared" si="0"/>
        <v>None</v>
      </c>
      <c r="H33" s="57">
        <f t="shared" si="1"/>
        <v>0</v>
      </c>
      <c r="I33" s="50">
        <f t="shared" si="2"/>
        <v>0</v>
      </c>
      <c r="J33" s="70">
        <f>IF(OR(G33=0,G33=0+$B$18,G33=0+$B$18+$B$18,G33=0+$B$18+$B$18+$B$18),$B$12*$D$15*(1+$D$16)^G33+$D$17+$D$11*$D$10+$B$12*$D$20+($D$21-$B$12)*'SCENARIO 0'!$D$13,IF(G33="None",0,($D$11*$D$10+$B$12*$D$20+($D$21-$B$12)*'SCENARIO 0'!$D$13)))</f>
        <v>0</v>
      </c>
      <c r="K33" s="47">
        <f t="shared" si="3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C304-E590-A54D-B8AD-F0ABF3F0B695}">
  <dimension ref="A1:K33"/>
  <sheetViews>
    <sheetView workbookViewId="0">
      <selection activeCell="D21" sqref="D21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83203125" bestFit="1" customWidth="1"/>
    <col min="4" max="4" width="11.83203125" customWidth="1"/>
    <col min="5" max="5" width="14.6640625" customWidth="1"/>
    <col min="6" max="6" width="10.83203125" style="33"/>
    <col min="8" max="8" width="12" bestFit="1" customWidth="1"/>
  </cols>
  <sheetData>
    <row r="1" spans="1:11" x14ac:dyDescent="0.2">
      <c r="A1" s="58" t="s">
        <v>26</v>
      </c>
      <c r="B1" s="58" t="s">
        <v>2</v>
      </c>
      <c r="C1" s="62" t="s">
        <v>29</v>
      </c>
      <c r="D1" s="62" t="s">
        <v>2</v>
      </c>
      <c r="E1" s="5" t="s">
        <v>27</v>
      </c>
      <c r="G1" s="51"/>
      <c r="H1" s="104" t="s">
        <v>25</v>
      </c>
      <c r="I1" s="105"/>
      <c r="J1" s="108" t="s">
        <v>41</v>
      </c>
      <c r="K1" s="107"/>
    </row>
    <row r="2" spans="1:11" x14ac:dyDescent="0.2">
      <c r="A2" s="59" t="s">
        <v>30</v>
      </c>
      <c r="B2" s="72">
        <f>'SCENARIO 0'!B2</f>
        <v>20</v>
      </c>
      <c r="C2" s="63"/>
      <c r="D2" s="63"/>
      <c r="E2" s="41" t="s">
        <v>31</v>
      </c>
      <c r="G2" s="52" t="s">
        <v>13</v>
      </c>
      <c r="H2" s="55" t="s">
        <v>37</v>
      </c>
      <c r="I2" s="48" t="s">
        <v>38</v>
      </c>
      <c r="J2" s="69" t="s">
        <v>37</v>
      </c>
      <c r="K2" s="44" t="s">
        <v>38</v>
      </c>
    </row>
    <row r="3" spans="1:11" x14ac:dyDescent="0.2">
      <c r="A3" s="60" t="s">
        <v>0</v>
      </c>
      <c r="B3" s="61"/>
      <c r="C3" s="64" t="s">
        <v>0</v>
      </c>
      <c r="D3" s="78">
        <f>LOOKUP(B4,'Input regression PV'!B18:B168,'Input regression PV'!$C$18:$C$168)</f>
        <v>0.16666666666666666</v>
      </c>
      <c r="E3" s="42" t="s">
        <v>28</v>
      </c>
      <c r="G3" s="53">
        <v>0</v>
      </c>
      <c r="H3" s="56">
        <f>IF(OR(G3=0,G3=0+$B$18,G3=0+$B$18+$B$18,G3=0+$B$18+$B$18+$B$18),$B$12*$D$15*(1+$D$16)^G3+$D$17+$D$11*$D$10+$D$5+$D$6,IF(G3="None",0,($D$11*$D$10)+$D$6))</f>
        <v>97832.098594861935</v>
      </c>
      <c r="I3" s="49">
        <f>IF(H3=0,0,H3/(1+$D$7)^G3)</f>
        <v>97832.098594861935</v>
      </c>
      <c r="J3" s="70">
        <f>IF(H3=0,0,$D$10*$D$11+$D$20*$D$21)</f>
        <v>11640.5</v>
      </c>
      <c r="K3" s="46">
        <f>IF(J3=0,0,J3/(1+$D$7)^G3)</f>
        <v>11640.5</v>
      </c>
    </row>
    <row r="4" spans="1:11" x14ac:dyDescent="0.2">
      <c r="A4" s="60" t="s">
        <v>42</v>
      </c>
      <c r="B4" s="60">
        <v>25</v>
      </c>
      <c r="C4" s="64"/>
      <c r="D4" s="65"/>
      <c r="E4" s="42" t="s">
        <v>1</v>
      </c>
      <c r="G4" s="53">
        <f>IF(G3&gt;=$B$2,"None",G3+1)</f>
        <v>1</v>
      </c>
      <c r="H4" s="56">
        <f t="shared" ref="H4:H33" si="0">IF(OR(G4=0,G4=0+$B$18,G4=0+$B$18+$B$18,G4=0+$B$18+$B$18+$B$18),$B$12*$D$15*(1+$D$16)^G4+$D$17+$D$11*$D$10+$D$5+$D$6,IF(G4="None",0,($D$11*$D$10)+$D$6))</f>
        <v>635.71352000000013</v>
      </c>
      <c r="I4" s="49">
        <f>IF(H4=0,0,H4/(1+$D$7)^G4)</f>
        <v>594.12478504672902</v>
      </c>
      <c r="J4" s="70">
        <f t="shared" ref="J4:J33" si="1">IF(H4=0,0,$D$10*$D$11+$D$20*$D$21)</f>
        <v>11640.5</v>
      </c>
      <c r="K4" s="46">
        <f>IF(J4=0,0,J4/(1+$D$7)^G4)</f>
        <v>10878.971962616823</v>
      </c>
    </row>
    <row r="5" spans="1:11" x14ac:dyDescent="0.2">
      <c r="A5" s="60"/>
      <c r="B5" s="60"/>
      <c r="C5" s="64"/>
      <c r="D5" s="73">
        <f>LOOKUP(B4,'Input regression PV'!B18:B168,'Input regression PV'!$D$18:$D$168)</f>
        <v>31010.676000000007</v>
      </c>
      <c r="E5" s="42" t="s">
        <v>33</v>
      </c>
      <c r="G5" s="53">
        <f t="shared" ref="G5:G33" si="2">IF(G4&gt;=$B$2,"None",G4+1)</f>
        <v>2</v>
      </c>
      <c r="H5" s="56">
        <f t="shared" si="0"/>
        <v>635.71352000000013</v>
      </c>
      <c r="I5" s="49">
        <f t="shared" ref="I5:I33" si="3">IF(H5=0,0,H5/(1+$D$7)^G5)</f>
        <v>555.25680845488694</v>
      </c>
      <c r="J5" s="70">
        <f t="shared" si="1"/>
        <v>11640.5</v>
      </c>
      <c r="K5" s="46">
        <f t="shared" ref="K5:K33" si="4">IF(J5=0,0,J5/(1+$D$7)^G5)</f>
        <v>10167.26351646432</v>
      </c>
    </row>
    <row r="6" spans="1:11" x14ac:dyDescent="0.2">
      <c r="A6" s="60"/>
      <c r="B6" s="60"/>
      <c r="C6" s="64"/>
      <c r="D6" s="74">
        <f>0.02*D5</f>
        <v>620.21352000000013</v>
      </c>
      <c r="E6" s="42" t="s">
        <v>33</v>
      </c>
      <c r="G6" s="53">
        <f t="shared" si="2"/>
        <v>3</v>
      </c>
      <c r="H6" s="56">
        <f t="shared" si="0"/>
        <v>635.71352000000013</v>
      </c>
      <c r="I6" s="49">
        <f t="shared" si="3"/>
        <v>518.93159668681028</v>
      </c>
      <c r="J6" s="70">
        <f t="shared" si="1"/>
        <v>11640.5</v>
      </c>
      <c r="K6" s="46">
        <f t="shared" si="4"/>
        <v>9502.1154359479624</v>
      </c>
    </row>
    <row r="7" spans="1:11" x14ac:dyDescent="0.2">
      <c r="A7" s="60"/>
      <c r="B7" s="60"/>
      <c r="C7" s="64" t="s">
        <v>32</v>
      </c>
      <c r="D7" s="75">
        <f>'SCENARIO 0'!D7</f>
        <v>7.0000000000000007E-2</v>
      </c>
      <c r="E7" s="42" t="s">
        <v>28</v>
      </c>
      <c r="G7" s="53">
        <f t="shared" si="2"/>
        <v>4</v>
      </c>
      <c r="H7" s="56">
        <f t="shared" si="0"/>
        <v>635.71352000000013</v>
      </c>
      <c r="I7" s="49">
        <f t="shared" si="3"/>
        <v>484.98280064187878</v>
      </c>
      <c r="J7" s="70">
        <f t="shared" si="1"/>
        <v>11640.5</v>
      </c>
      <c r="K7" s="46">
        <f t="shared" si="4"/>
        <v>8880.4817158392179</v>
      </c>
    </row>
    <row r="8" spans="1:11" x14ac:dyDescent="0.2">
      <c r="A8" s="60"/>
      <c r="B8" s="60">
        <v>100</v>
      </c>
      <c r="C8" s="64"/>
      <c r="D8" s="66"/>
      <c r="E8" s="42" t="s">
        <v>34</v>
      </c>
      <c r="G8" s="53">
        <f t="shared" si="2"/>
        <v>5</v>
      </c>
      <c r="H8" s="56">
        <f t="shared" si="0"/>
        <v>635.71352000000013</v>
      </c>
      <c r="I8" s="49">
        <f t="shared" si="3"/>
        <v>453.25495387091468</v>
      </c>
      <c r="J8" s="70">
        <f t="shared" si="1"/>
        <v>11640.5</v>
      </c>
      <c r="K8" s="46">
        <f t="shared" si="4"/>
        <v>8299.5156222796413</v>
      </c>
    </row>
    <row r="9" spans="1:11" x14ac:dyDescent="0.2">
      <c r="A9" s="60"/>
      <c r="B9" s="60"/>
      <c r="C9" s="64"/>
      <c r="D9" s="81">
        <f>'SCENARIO 0'!D9</f>
        <v>0.31</v>
      </c>
      <c r="E9" s="42" t="s">
        <v>35</v>
      </c>
      <c r="G9" s="53">
        <f t="shared" si="2"/>
        <v>6</v>
      </c>
      <c r="H9" s="56">
        <f t="shared" si="0"/>
        <v>635.71352000000013</v>
      </c>
      <c r="I9" s="49">
        <f t="shared" si="3"/>
        <v>423.60276062702309</v>
      </c>
      <c r="J9" s="70">
        <f t="shared" si="1"/>
        <v>11640.5</v>
      </c>
      <c r="K9" s="46">
        <f t="shared" si="4"/>
        <v>7756.5566563361144</v>
      </c>
    </row>
    <row r="10" spans="1:11" x14ac:dyDescent="0.2">
      <c r="A10" s="60"/>
      <c r="B10" s="60"/>
      <c r="C10" s="64"/>
      <c r="D10" s="76">
        <f>B8*D9</f>
        <v>31</v>
      </c>
      <c r="E10" s="42" t="s">
        <v>33</v>
      </c>
      <c r="G10" s="53">
        <f t="shared" si="2"/>
        <v>7</v>
      </c>
      <c r="H10" s="56">
        <f t="shared" si="0"/>
        <v>635.71352000000013</v>
      </c>
      <c r="I10" s="49">
        <f t="shared" si="3"/>
        <v>395.89043049254491</v>
      </c>
      <c r="J10" s="70">
        <f t="shared" si="1"/>
        <v>11640.5</v>
      </c>
      <c r="K10" s="46">
        <f t="shared" si="4"/>
        <v>7249.1183704075829</v>
      </c>
    </row>
    <row r="11" spans="1:11" x14ac:dyDescent="0.2">
      <c r="A11" s="60"/>
      <c r="B11" s="60"/>
      <c r="C11" s="64" t="s">
        <v>36</v>
      </c>
      <c r="D11" s="75">
        <f>'SCENARIO 0'!D11</f>
        <v>0.5</v>
      </c>
      <c r="E11" s="42" t="s">
        <v>28</v>
      </c>
      <c r="G11" s="53">
        <f t="shared" si="2"/>
        <v>8</v>
      </c>
      <c r="H11" s="56">
        <f t="shared" si="0"/>
        <v>635.71352000000013</v>
      </c>
      <c r="I11" s="49">
        <f t="shared" si="3"/>
        <v>369.99105653508872</v>
      </c>
      <c r="J11" s="70">
        <f t="shared" si="1"/>
        <v>11640.5</v>
      </c>
      <c r="K11" s="46">
        <f t="shared" si="4"/>
        <v>6774.87698168933</v>
      </c>
    </row>
    <row r="12" spans="1:11" x14ac:dyDescent="0.2">
      <c r="A12" s="60"/>
      <c r="B12" s="60">
        <v>1</v>
      </c>
      <c r="C12" s="64"/>
      <c r="D12" s="64"/>
      <c r="E12" s="42" t="s">
        <v>43</v>
      </c>
      <c r="G12" s="53">
        <f t="shared" si="2"/>
        <v>9</v>
      </c>
      <c r="H12" s="56">
        <f t="shared" si="0"/>
        <v>635.71352000000013</v>
      </c>
      <c r="I12" s="49">
        <f t="shared" si="3"/>
        <v>345.78603414494268</v>
      </c>
      <c r="J12" s="70">
        <f t="shared" si="1"/>
        <v>11640.5</v>
      </c>
      <c r="K12" s="46">
        <f t="shared" si="4"/>
        <v>6331.660730550775</v>
      </c>
    </row>
    <row r="13" spans="1:11" x14ac:dyDescent="0.2">
      <c r="A13" s="60"/>
      <c r="B13" s="60"/>
      <c r="C13" s="64"/>
      <c r="D13" s="76">
        <f>'SCENARIO 1'!D13</f>
        <v>816.9387010694561</v>
      </c>
      <c r="E13" s="42" t="s">
        <v>35</v>
      </c>
      <c r="G13" s="53">
        <f t="shared" si="2"/>
        <v>10</v>
      </c>
      <c r="H13" s="56">
        <f t="shared" si="0"/>
        <v>635.71352000000013</v>
      </c>
      <c r="I13" s="49">
        <f t="shared" si="3"/>
        <v>323.1645178924698</v>
      </c>
      <c r="J13" s="70">
        <f t="shared" si="1"/>
        <v>11640.5</v>
      </c>
      <c r="K13" s="46">
        <f t="shared" si="4"/>
        <v>5917.4399350941821</v>
      </c>
    </row>
    <row r="14" spans="1:11" x14ac:dyDescent="0.2">
      <c r="A14" s="60"/>
      <c r="B14" s="60">
        <v>70</v>
      </c>
      <c r="C14" s="64"/>
      <c r="D14" s="64"/>
      <c r="E14" s="42" t="s">
        <v>34</v>
      </c>
      <c r="G14" s="53">
        <f t="shared" si="2"/>
        <v>11</v>
      </c>
      <c r="H14" s="56">
        <f t="shared" si="0"/>
        <v>635.71352000000013</v>
      </c>
      <c r="I14" s="49">
        <f t="shared" si="3"/>
        <v>302.02291391819608</v>
      </c>
      <c r="J14" s="70">
        <f t="shared" si="1"/>
        <v>11640.5</v>
      </c>
      <c r="K14" s="46">
        <f t="shared" si="4"/>
        <v>5530.3176963497026</v>
      </c>
    </row>
    <row r="15" spans="1:11" x14ac:dyDescent="0.2">
      <c r="A15" s="60"/>
      <c r="B15" s="60"/>
      <c r="C15" s="64"/>
      <c r="D15" s="76">
        <f>D13*B14</f>
        <v>57185.70907486193</v>
      </c>
      <c r="E15" s="42" t="s">
        <v>33</v>
      </c>
      <c r="G15" s="53">
        <f t="shared" si="2"/>
        <v>12</v>
      </c>
      <c r="H15" s="56">
        <f t="shared" si="0"/>
        <v>635.71352000000013</v>
      </c>
      <c r="I15" s="49">
        <f t="shared" si="3"/>
        <v>282.26440553102441</v>
      </c>
      <c r="J15" s="70">
        <f t="shared" si="1"/>
        <v>11640.5</v>
      </c>
      <c r="K15" s="46">
        <f t="shared" si="4"/>
        <v>5168.5212115417789</v>
      </c>
    </row>
    <row r="16" spans="1:11" x14ac:dyDescent="0.2">
      <c r="A16" s="60"/>
      <c r="B16" s="60"/>
      <c r="C16" s="64"/>
      <c r="D16" s="77">
        <f>'Battery cost trend'!B28</f>
        <v>-7.1617328488423518E-2</v>
      </c>
      <c r="E16" s="42" t="s">
        <v>28</v>
      </c>
      <c r="G16" s="53">
        <f t="shared" si="2"/>
        <v>13</v>
      </c>
      <c r="H16" s="56">
        <f t="shared" si="0"/>
        <v>635.71352000000013</v>
      </c>
      <c r="I16" s="49">
        <f t="shared" si="3"/>
        <v>263.79850984207889</v>
      </c>
      <c r="J16" s="70">
        <f t="shared" si="1"/>
        <v>11640.5</v>
      </c>
      <c r="K16" s="46">
        <f t="shared" si="4"/>
        <v>4830.3936556465223</v>
      </c>
    </row>
    <row r="17" spans="1:11" x14ac:dyDescent="0.2">
      <c r="A17" s="60"/>
      <c r="B17" s="60"/>
      <c r="C17" s="64"/>
      <c r="D17" s="66">
        <v>9000</v>
      </c>
      <c r="E17" s="42" t="s">
        <v>33</v>
      </c>
      <c r="G17" s="53">
        <f t="shared" si="2"/>
        <v>14</v>
      </c>
      <c r="H17" s="56">
        <f t="shared" si="0"/>
        <v>635.71352000000013</v>
      </c>
      <c r="I17" s="49">
        <f t="shared" si="3"/>
        <v>246.54066340381203</v>
      </c>
      <c r="J17" s="70">
        <f t="shared" si="1"/>
        <v>11640.5</v>
      </c>
      <c r="K17" s="46">
        <f t="shared" si="4"/>
        <v>4514.3865940621708</v>
      </c>
    </row>
    <row r="18" spans="1:11" x14ac:dyDescent="0.2">
      <c r="A18" s="60"/>
      <c r="B18" s="60">
        <v>18</v>
      </c>
      <c r="C18" s="64"/>
      <c r="D18" s="64"/>
      <c r="E18" s="42" t="s">
        <v>31</v>
      </c>
      <c r="G18" s="53">
        <f t="shared" si="2"/>
        <v>15</v>
      </c>
      <c r="H18" s="56">
        <f t="shared" si="0"/>
        <v>635.71352000000013</v>
      </c>
      <c r="I18" s="49">
        <f t="shared" si="3"/>
        <v>230.41183495683364</v>
      </c>
      <c r="J18" s="70">
        <f t="shared" si="1"/>
        <v>11640.5</v>
      </c>
      <c r="K18" s="46">
        <f t="shared" si="4"/>
        <v>4219.0528916468875</v>
      </c>
    </row>
    <row r="19" spans="1:11" x14ac:dyDescent="0.2">
      <c r="A19" s="60"/>
      <c r="B19" s="60"/>
      <c r="C19" s="64" t="s">
        <v>60</v>
      </c>
      <c r="D19" s="76">
        <f>'SCENARIO 0'!D12</f>
        <v>2500</v>
      </c>
      <c r="E19" s="42" t="s">
        <v>62</v>
      </c>
      <c r="G19" s="53">
        <f t="shared" si="2"/>
        <v>16</v>
      </c>
      <c r="H19" s="56">
        <f t="shared" si="0"/>
        <v>635.71352000000013</v>
      </c>
      <c r="I19" s="49">
        <f t="shared" si="3"/>
        <v>215.33816351105952</v>
      </c>
      <c r="J19" s="70">
        <f t="shared" si="1"/>
        <v>11640.5</v>
      </c>
      <c r="K19" s="46">
        <f t="shared" si="4"/>
        <v>3943.0400856512974</v>
      </c>
    </row>
    <row r="20" spans="1:11" x14ac:dyDescent="0.2">
      <c r="A20" s="60"/>
      <c r="B20" s="60"/>
      <c r="C20" s="64" t="s">
        <v>63</v>
      </c>
      <c r="D20" s="76">
        <f>'SCENARIO 0'!D13</f>
        <v>775</v>
      </c>
      <c r="E20" s="42" t="s">
        <v>61</v>
      </c>
      <c r="G20" s="53">
        <f t="shared" si="2"/>
        <v>17</v>
      </c>
      <c r="H20" s="56">
        <f t="shared" si="0"/>
        <v>635.71352000000013</v>
      </c>
      <c r="I20" s="49">
        <f t="shared" si="3"/>
        <v>201.25062010379395</v>
      </c>
      <c r="J20" s="70">
        <f t="shared" si="1"/>
        <v>11640.5</v>
      </c>
      <c r="K20" s="46">
        <f t="shared" si="4"/>
        <v>3685.0841921974743</v>
      </c>
    </row>
    <row r="21" spans="1:11" x14ac:dyDescent="0.2">
      <c r="A21" s="60"/>
      <c r="B21" s="60"/>
      <c r="C21" s="64" t="s">
        <v>64</v>
      </c>
      <c r="D21">
        <f>'SCENARIO 1'!D21</f>
        <v>15</v>
      </c>
      <c r="E21" s="42" t="s">
        <v>43</v>
      </c>
      <c r="G21" s="53">
        <f t="shared" si="2"/>
        <v>18</v>
      </c>
      <c r="H21" s="56">
        <f t="shared" si="0"/>
        <v>55656.157263950437</v>
      </c>
      <c r="I21" s="49">
        <f t="shared" si="3"/>
        <v>16466.648655523146</v>
      </c>
      <c r="J21" s="70">
        <f t="shared" si="1"/>
        <v>11640.5</v>
      </c>
      <c r="K21" s="46">
        <f t="shared" si="4"/>
        <v>3444.0039179415649</v>
      </c>
    </row>
    <row r="22" spans="1:11" x14ac:dyDescent="0.2">
      <c r="A22" s="60"/>
      <c r="B22" s="60"/>
      <c r="C22" s="64" t="s">
        <v>39</v>
      </c>
      <c r="D22" s="74">
        <f>SUM(I3:I33)</f>
        <v>120845.4206456465</v>
      </c>
      <c r="E22" s="42" t="s">
        <v>33</v>
      </c>
      <c r="G22" s="53">
        <f t="shared" si="2"/>
        <v>19</v>
      </c>
      <c r="H22" s="56">
        <f t="shared" si="0"/>
        <v>635.71352000000013</v>
      </c>
      <c r="I22" s="49">
        <f t="shared" si="3"/>
        <v>175.78008568765301</v>
      </c>
      <c r="J22" s="70">
        <f t="shared" si="1"/>
        <v>11640.5</v>
      </c>
      <c r="K22" s="46">
        <f t="shared" si="4"/>
        <v>3218.6952504126771</v>
      </c>
    </row>
    <row r="23" spans="1:11" x14ac:dyDescent="0.2">
      <c r="A23" s="60"/>
      <c r="B23" s="60"/>
      <c r="C23" s="64" t="s">
        <v>40</v>
      </c>
      <c r="D23" s="74">
        <f>SUM(K3:K33)</f>
        <v>134960.12282493088</v>
      </c>
      <c r="E23" s="42" t="s">
        <v>33</v>
      </c>
      <c r="G23" s="53">
        <f t="shared" si="2"/>
        <v>20</v>
      </c>
      <c r="H23" s="56">
        <f t="shared" si="0"/>
        <v>635.71352000000013</v>
      </c>
      <c r="I23" s="49">
        <f t="shared" si="3"/>
        <v>164.2804539136944</v>
      </c>
      <c r="J23" s="70">
        <f t="shared" si="1"/>
        <v>11640.5</v>
      </c>
      <c r="K23" s="46">
        <f t="shared" si="4"/>
        <v>3008.1264022548385</v>
      </c>
    </row>
    <row r="24" spans="1:11" x14ac:dyDescent="0.2">
      <c r="A24" s="60"/>
      <c r="B24" s="60"/>
      <c r="C24" s="64"/>
      <c r="D24" s="10"/>
      <c r="E24" s="42"/>
      <c r="G24" s="53" t="str">
        <f t="shared" si="2"/>
        <v>None</v>
      </c>
      <c r="H24" s="56">
        <f t="shared" si="0"/>
        <v>0</v>
      </c>
      <c r="I24" s="49">
        <f t="shared" si="3"/>
        <v>0</v>
      </c>
      <c r="J24" s="70">
        <f t="shared" si="1"/>
        <v>0</v>
      </c>
      <c r="K24" s="46">
        <f t="shared" si="4"/>
        <v>0</v>
      </c>
    </row>
    <row r="25" spans="1:11" x14ac:dyDescent="0.2">
      <c r="G25" s="53" t="str">
        <f t="shared" si="2"/>
        <v>None</v>
      </c>
      <c r="H25" s="56">
        <f t="shared" si="0"/>
        <v>0</v>
      </c>
      <c r="I25" s="49">
        <f t="shared" si="3"/>
        <v>0</v>
      </c>
      <c r="J25" s="70">
        <f t="shared" si="1"/>
        <v>0</v>
      </c>
      <c r="K25" s="46">
        <f t="shared" si="4"/>
        <v>0</v>
      </c>
    </row>
    <row r="26" spans="1:11" x14ac:dyDescent="0.2">
      <c r="G26" s="53" t="str">
        <f t="shared" si="2"/>
        <v>None</v>
      </c>
      <c r="H26" s="56">
        <f t="shared" si="0"/>
        <v>0</v>
      </c>
      <c r="I26" s="49">
        <f t="shared" si="3"/>
        <v>0</v>
      </c>
      <c r="J26" s="70">
        <f t="shared" si="1"/>
        <v>0</v>
      </c>
      <c r="K26" s="46">
        <f t="shared" si="4"/>
        <v>0</v>
      </c>
    </row>
    <row r="27" spans="1:11" x14ac:dyDescent="0.2">
      <c r="G27" s="53" t="str">
        <f t="shared" si="2"/>
        <v>None</v>
      </c>
      <c r="H27" s="56">
        <f t="shared" si="0"/>
        <v>0</v>
      </c>
      <c r="I27" s="49">
        <f t="shared" si="3"/>
        <v>0</v>
      </c>
      <c r="J27" s="70">
        <f t="shared" si="1"/>
        <v>0</v>
      </c>
      <c r="K27" s="46">
        <f t="shared" si="4"/>
        <v>0</v>
      </c>
    </row>
    <row r="28" spans="1:11" x14ac:dyDescent="0.2">
      <c r="G28" s="53" t="str">
        <f t="shared" si="2"/>
        <v>None</v>
      </c>
      <c r="H28" s="56">
        <f t="shared" si="0"/>
        <v>0</v>
      </c>
      <c r="I28" s="49">
        <f t="shared" si="3"/>
        <v>0</v>
      </c>
      <c r="J28" s="70">
        <f t="shared" si="1"/>
        <v>0</v>
      </c>
      <c r="K28" s="46">
        <f t="shared" si="4"/>
        <v>0</v>
      </c>
    </row>
    <row r="29" spans="1:11" x14ac:dyDescent="0.2">
      <c r="G29" s="53" t="str">
        <f t="shared" si="2"/>
        <v>None</v>
      </c>
      <c r="H29" s="56">
        <f t="shared" si="0"/>
        <v>0</v>
      </c>
      <c r="I29" s="49">
        <f t="shared" si="3"/>
        <v>0</v>
      </c>
      <c r="J29" s="70">
        <f t="shared" si="1"/>
        <v>0</v>
      </c>
      <c r="K29" s="46">
        <f t="shared" si="4"/>
        <v>0</v>
      </c>
    </row>
    <row r="30" spans="1:11" x14ac:dyDescent="0.2">
      <c r="G30" s="53" t="str">
        <f t="shared" si="2"/>
        <v>None</v>
      </c>
      <c r="H30" s="56">
        <f t="shared" si="0"/>
        <v>0</v>
      </c>
      <c r="I30" s="49">
        <f t="shared" si="3"/>
        <v>0</v>
      </c>
      <c r="J30" s="70">
        <f t="shared" si="1"/>
        <v>0</v>
      </c>
      <c r="K30" s="46">
        <f t="shared" si="4"/>
        <v>0</v>
      </c>
    </row>
    <row r="31" spans="1:11" x14ac:dyDescent="0.2">
      <c r="G31" s="53" t="str">
        <f t="shared" si="2"/>
        <v>None</v>
      </c>
      <c r="H31" s="56">
        <f t="shared" si="0"/>
        <v>0</v>
      </c>
      <c r="I31" s="49">
        <f t="shared" si="3"/>
        <v>0</v>
      </c>
      <c r="J31" s="70">
        <f t="shared" si="1"/>
        <v>0</v>
      </c>
      <c r="K31" s="46">
        <f t="shared" si="4"/>
        <v>0</v>
      </c>
    </row>
    <row r="32" spans="1:11" x14ac:dyDescent="0.2">
      <c r="G32" s="53" t="str">
        <f t="shared" si="2"/>
        <v>None</v>
      </c>
      <c r="H32" s="56">
        <f t="shared" si="0"/>
        <v>0</v>
      </c>
      <c r="I32" s="49">
        <f t="shared" si="3"/>
        <v>0</v>
      </c>
      <c r="J32" s="70">
        <f t="shared" si="1"/>
        <v>0</v>
      </c>
      <c r="K32" s="46">
        <f t="shared" si="4"/>
        <v>0</v>
      </c>
    </row>
    <row r="33" spans="7:11" x14ac:dyDescent="0.2">
      <c r="G33" s="54" t="str">
        <f t="shared" si="2"/>
        <v>None</v>
      </c>
      <c r="H33" s="57">
        <f t="shared" si="0"/>
        <v>0</v>
      </c>
      <c r="I33" s="50">
        <f t="shared" si="3"/>
        <v>0</v>
      </c>
      <c r="J33" s="71">
        <f t="shared" si="1"/>
        <v>0</v>
      </c>
      <c r="K33" s="47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9108-8C11-CA44-8E9F-E8E697E30367}">
  <dimension ref="A1:K33"/>
  <sheetViews>
    <sheetView tabSelected="1" workbookViewId="0">
      <selection activeCell="B9" sqref="B9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83203125" bestFit="1" customWidth="1"/>
    <col min="4" max="4" width="11.83203125" customWidth="1"/>
    <col min="5" max="5" width="14.6640625" customWidth="1"/>
    <col min="6" max="6" width="10.83203125" style="33"/>
    <col min="8" max="8" width="12" bestFit="1" customWidth="1"/>
  </cols>
  <sheetData>
    <row r="1" spans="1:11" x14ac:dyDescent="0.2">
      <c r="A1" s="58" t="s">
        <v>26</v>
      </c>
      <c r="B1" s="58" t="s">
        <v>2</v>
      </c>
      <c r="C1" s="62" t="s">
        <v>29</v>
      </c>
      <c r="D1" s="62" t="s">
        <v>2</v>
      </c>
      <c r="E1" s="5" t="s">
        <v>27</v>
      </c>
      <c r="G1" s="51"/>
      <c r="H1" s="104" t="s">
        <v>25</v>
      </c>
      <c r="I1" s="105"/>
      <c r="J1" s="108" t="s">
        <v>41</v>
      </c>
      <c r="K1" s="107"/>
    </row>
    <row r="2" spans="1:11" x14ac:dyDescent="0.2">
      <c r="A2" s="59" t="s">
        <v>30</v>
      </c>
      <c r="B2" s="72">
        <f>'SCENARIO 0'!B2</f>
        <v>20</v>
      </c>
      <c r="C2" s="63"/>
      <c r="D2" s="63"/>
      <c r="E2" s="41" t="s">
        <v>31</v>
      </c>
      <c r="G2" s="52" t="s">
        <v>13</v>
      </c>
      <c r="H2" s="55" t="s">
        <v>37</v>
      </c>
      <c r="I2" s="48" t="s">
        <v>38</v>
      </c>
      <c r="J2" s="69" t="s">
        <v>37</v>
      </c>
      <c r="K2" s="44" t="s">
        <v>38</v>
      </c>
    </row>
    <row r="3" spans="1:11" x14ac:dyDescent="0.2">
      <c r="A3" s="60" t="s">
        <v>0</v>
      </c>
      <c r="B3" s="61"/>
      <c r="C3" s="64" t="s">
        <v>0</v>
      </c>
      <c r="D3" s="78">
        <f>LOOKUP(B4,'Input regression PV'!B18:B168,'Input regression PV'!$C$18:$C$168)</f>
        <v>3.3333333333333333E-2</v>
      </c>
      <c r="E3" s="42" t="s">
        <v>28</v>
      </c>
      <c r="G3" s="53">
        <v>0</v>
      </c>
      <c r="H3" s="56">
        <f t="shared" ref="H3:H33" si="0">IF(OR(G3=0,G3=0+$B$21,G3=0+$B$21+$B$21,G3=0+$B$21+$B$21+$B$21),$B$12*$D$17*(1+$D$19)^G3+$D$20+$D$11*$D$10+$D$5+$D$6,IF(G3="None",0,($D$11*$D$10)+$D$6))</f>
        <v>79284.777594861924</v>
      </c>
      <c r="I3" s="49">
        <f>IF(H3=0,0,H3/(1+$D$7)^G3)</f>
        <v>79284.777594861924</v>
      </c>
      <c r="J3" s="70">
        <f>IF(OR(G3=0,G3=0+$B$22,G3=0+$B$22+$B$22,G3=0+$B$22+$B$22+$B$22),$B$22*$D$18*(1+$D$19)^G3+$D$20+$D$11*$D$10+$D$24*$B$13+($D$25-$B$13)*'SCENARIO 0'!$D$13,IF(G3="None",0,($D$11*$D$10)+$D$24*$B$13+($D$25-$B$13)*'SCENARIO 0'!$D$13))</f>
        <v>162411.71619250209</v>
      </c>
      <c r="K3" s="46">
        <f>IF(J3=0,0,J3/(1+$D$7)^G3)</f>
        <v>162411.71619250209</v>
      </c>
    </row>
    <row r="4" spans="1:11" x14ac:dyDescent="0.2">
      <c r="A4" s="60" t="s">
        <v>42</v>
      </c>
      <c r="B4" s="60">
        <v>5</v>
      </c>
      <c r="C4" s="64"/>
      <c r="D4" s="65"/>
      <c r="E4" s="42" t="s">
        <v>1</v>
      </c>
      <c r="G4" s="53">
        <f>IF(G3&gt;=$B$2,"None",G3+1)</f>
        <v>1</v>
      </c>
      <c r="H4" s="56">
        <f t="shared" si="0"/>
        <v>264.44252</v>
      </c>
      <c r="I4" s="49">
        <f>IF(H4=0,0,H4/(1+$D$7)^G4)</f>
        <v>247.14254205607475</v>
      </c>
      <c r="J4" s="70">
        <f>IF(OR(G4=0,G4=0+$B$22,G4=0+$B$22+$B$22,G4=0+$B$22+$B$22+$B$22),$B$22*$D$18*(1+$D$19)^G4+$D$20+$D$11*$D$10+$D$24*$B$13+($D$25-$B$13)*'SCENARIO 0'!$D$13,IF(G4="None",0,($D$11*$D$10)+$D$24*$B$13+($D$25-$B$13)*'SCENARIO 0'!$D$13))</f>
        <v>6362.75</v>
      </c>
      <c r="K4" s="46">
        <f>IF(J4=0,0,J4/(1+$D$7)^G4)</f>
        <v>5946.4953271028035</v>
      </c>
    </row>
    <row r="5" spans="1:11" x14ac:dyDescent="0.2">
      <c r="A5" s="60"/>
      <c r="B5" s="60"/>
      <c r="C5" s="64"/>
      <c r="D5" s="73">
        <f>LOOKUP(B4,'Input regression PV'!B18:B168,'Input regression PV'!$D$18:$D$168)</f>
        <v>12834.626</v>
      </c>
      <c r="E5" s="42" t="s">
        <v>33</v>
      </c>
      <c r="G5" s="53">
        <f t="shared" ref="G5:G33" si="1">IF(G4&gt;=$B$2,"None",G4+1)</f>
        <v>2</v>
      </c>
      <c r="H5" s="56">
        <f t="shared" si="0"/>
        <v>264.44252</v>
      </c>
      <c r="I5" s="49">
        <f t="shared" ref="I5:I33" si="2">IF(H5=0,0,H5/(1+$D$7)^G5)</f>
        <v>230.97433837016334</v>
      </c>
      <c r="J5" s="70">
        <f>IF(OR(G5=0,G5=0+$B$22,G5=0+$B$22+$B$22,G5=0+$B$22+$B$22+$B$22),$B$22*$D$18*(1+$D$19)^G5+$D$20+$D$11*$D$10+$D$24*$B$13+($D$25-$B$13)*'SCENARIO 0'!$D$13,IF(G5="None",0,($D$11*$D$10)+$D$24*$B$13+($D$25-$B$13)*'SCENARIO 0'!$D$13))</f>
        <v>6362.75</v>
      </c>
      <c r="K5" s="46">
        <f t="shared" ref="K5:K33" si="3">IF(J5=0,0,J5/(1+$D$7)^G5)</f>
        <v>5557.4722683203772</v>
      </c>
    </row>
    <row r="6" spans="1:11" x14ac:dyDescent="0.2">
      <c r="A6" s="60"/>
      <c r="B6" s="60"/>
      <c r="C6" s="64"/>
      <c r="D6" s="74">
        <f>0.02*D5</f>
        <v>256.69252</v>
      </c>
      <c r="E6" s="42" t="s">
        <v>33</v>
      </c>
      <c r="G6" s="53">
        <f t="shared" si="1"/>
        <v>3</v>
      </c>
      <c r="H6" s="56">
        <f t="shared" si="0"/>
        <v>264.44252</v>
      </c>
      <c r="I6" s="49">
        <f t="shared" si="2"/>
        <v>215.86386763566665</v>
      </c>
      <c r="J6" s="70">
        <f>IF(OR(G6=0,G6=0+$B$22,G6=0+$B$22+$B$22,G6=0+$B$22+$B$22+$B$22),$B$22*$D$18*(1+$D$19)^G6+$D$20+$D$11*$D$10+$D$24*$B$13+($D$25-$B$13)*'SCENARIO 0'!$D$13,IF(G6="None",0,($D$11*$D$10)+$D$24*$B$13+($D$25-$B$13)*'SCENARIO 0'!$D$13))</f>
        <v>6362.75</v>
      </c>
      <c r="K6" s="46">
        <f t="shared" si="3"/>
        <v>5193.8993161872677</v>
      </c>
    </row>
    <row r="7" spans="1:11" x14ac:dyDescent="0.2">
      <c r="A7" s="60"/>
      <c r="B7" s="60"/>
      <c r="C7" s="64" t="s">
        <v>32</v>
      </c>
      <c r="D7" s="75">
        <f>'SCENARIO 0'!D7</f>
        <v>7.0000000000000007E-2</v>
      </c>
      <c r="E7" s="42" t="s">
        <v>28</v>
      </c>
      <c r="G7" s="53">
        <f t="shared" si="1"/>
        <v>4</v>
      </c>
      <c r="H7" s="56">
        <f t="shared" si="0"/>
        <v>264.44252</v>
      </c>
      <c r="I7" s="49">
        <f t="shared" si="2"/>
        <v>201.74193236978192</v>
      </c>
      <c r="J7" s="70">
        <f>IF(OR(G7=0,G7=0+$B$22,G7=0+$B$22+$B$22,G7=0+$B$22+$B$22+$B$22),$B$22*$D$18*(1+$D$19)^G7+$D$20+$D$11*$D$10+$D$24*$B$13+($D$25-$B$13)*'SCENARIO 0'!$D$13,IF(G7="None",0,($D$11*$D$10)+$D$24*$B$13+($D$25-$B$13)*'SCENARIO 0'!$D$13))</f>
        <v>6362.75</v>
      </c>
      <c r="K7" s="46">
        <f t="shared" si="3"/>
        <v>4854.111510455391</v>
      </c>
    </row>
    <row r="8" spans="1:11" x14ac:dyDescent="0.2">
      <c r="A8" s="60"/>
      <c r="B8" s="60">
        <v>50</v>
      </c>
      <c r="C8" s="64"/>
      <c r="D8" s="66"/>
      <c r="E8" s="42" t="s">
        <v>34</v>
      </c>
      <c r="G8" s="53">
        <f t="shared" si="1"/>
        <v>5</v>
      </c>
      <c r="H8" s="56">
        <f t="shared" si="0"/>
        <v>264.44252</v>
      </c>
      <c r="I8" s="49">
        <f t="shared" si="2"/>
        <v>188.54386202783357</v>
      </c>
      <c r="J8" s="70">
        <f>IF(OR(G8=0,G8=0+$B$22,G8=0+$B$22+$B$22,G8=0+$B$22+$B$22+$B$22),$B$22*$D$18*(1+$D$19)^G8+$D$20+$D$11*$D$10+$D$24*$B$13+($D$25-$B$13)*'SCENARIO 0'!$D$13,IF(G8="None",0,($D$11*$D$10)+$D$24*$B$13+($D$25-$B$13)*'SCENARIO 0'!$D$13))</f>
        <v>6362.75</v>
      </c>
      <c r="K8" s="46">
        <f t="shared" si="3"/>
        <v>4536.5528135097111</v>
      </c>
    </row>
    <row r="9" spans="1:11" x14ac:dyDescent="0.2">
      <c r="A9" s="60"/>
      <c r="B9" s="60"/>
      <c r="C9" s="64"/>
      <c r="D9" s="64">
        <v>0.31</v>
      </c>
      <c r="E9" s="42" t="s">
        <v>35</v>
      </c>
      <c r="G9" s="53">
        <f t="shared" si="1"/>
        <v>6</v>
      </c>
      <c r="H9" s="56">
        <f t="shared" si="0"/>
        <v>264.44252</v>
      </c>
      <c r="I9" s="49">
        <f t="shared" si="2"/>
        <v>176.20921684844259</v>
      </c>
      <c r="J9" s="70">
        <f>IF(OR(G9=0,G9=0+$B$22,G9=0+$B$22+$B$22,G9=0+$B$22+$B$22+$B$22),$B$22*$D$18*(1+$D$19)^G9+$D$20+$D$11*$D$10+$D$24*$B$13+($D$25-$B$13)*'SCENARIO 0'!$D$13,IF(G9="None",0,($D$11*$D$10)+$D$24*$B$13+($D$25-$B$13)*'SCENARIO 0'!$D$13))</f>
        <v>6362.75</v>
      </c>
      <c r="K9" s="46">
        <f t="shared" si="3"/>
        <v>4239.7689845885152</v>
      </c>
    </row>
    <row r="10" spans="1:11" x14ac:dyDescent="0.2">
      <c r="A10" s="60"/>
      <c r="B10" s="60"/>
      <c r="C10" s="64"/>
      <c r="D10" s="76">
        <f>B8*D9</f>
        <v>15.5</v>
      </c>
      <c r="E10" s="42" t="s">
        <v>33</v>
      </c>
      <c r="G10" s="53">
        <f t="shared" si="1"/>
        <v>7</v>
      </c>
      <c r="H10" s="56">
        <f t="shared" si="0"/>
        <v>264.44252</v>
      </c>
      <c r="I10" s="49">
        <f t="shared" si="2"/>
        <v>164.68151107331082</v>
      </c>
      <c r="J10" s="70">
        <f>IF(OR(G10=0,G10=0+$B$22,G10=0+$B$22+$B$22,G10=0+$B$22+$B$22+$B$22),$B$22*$D$18*(1+$D$19)^G10+$D$20+$D$11*$D$10+$D$24*$B$13+($D$25-$B$13)*'SCENARIO 0'!$D$13,IF(G10="None",0,($D$11*$D$10)+$D$24*$B$13+($D$25-$B$13)*'SCENARIO 0'!$D$13))</f>
        <v>6362.75</v>
      </c>
      <c r="K10" s="46">
        <f t="shared" si="3"/>
        <v>3962.4009201761819</v>
      </c>
    </row>
    <row r="11" spans="1:11" x14ac:dyDescent="0.2">
      <c r="A11" s="60"/>
      <c r="B11" s="60"/>
      <c r="C11" s="64" t="s">
        <v>36</v>
      </c>
      <c r="D11" s="75">
        <f>'SCENARIO 0'!D11</f>
        <v>0.5</v>
      </c>
      <c r="E11" s="42" t="s">
        <v>28</v>
      </c>
      <c r="G11" s="53">
        <f t="shared" si="1"/>
        <v>8</v>
      </c>
      <c r="H11" s="56">
        <f t="shared" si="0"/>
        <v>264.44252</v>
      </c>
      <c r="I11" s="49">
        <f t="shared" si="2"/>
        <v>153.90795427412226</v>
      </c>
      <c r="J11" s="70">
        <f>IF(OR(G11=0,G11=0+$B$22,G11=0+$B$22+$B$22,G11=0+$B$22+$B$22+$B$22),$B$22*$D$18*(1+$D$19)^G11+$D$20+$D$11*$D$10+$D$24*$B$13+($D$25-$B$13)*'SCENARIO 0'!$D$13,IF(G11="None",0,($D$11*$D$10)+$D$24*$B$13+($D$25-$B$13)*'SCENARIO 0'!$D$13))</f>
        <v>6362.75</v>
      </c>
      <c r="K11" s="46">
        <f t="shared" si="3"/>
        <v>3703.1784300711984</v>
      </c>
    </row>
    <row r="12" spans="1:11" x14ac:dyDescent="0.2">
      <c r="A12" s="60" t="s">
        <v>49</v>
      </c>
      <c r="B12" s="81">
        <f>'SCENARIO 2'!B12</f>
        <v>1</v>
      </c>
      <c r="C12" s="64"/>
      <c r="D12" s="64"/>
      <c r="E12" s="42" t="s">
        <v>43</v>
      </c>
      <c r="G12" s="53">
        <f t="shared" si="1"/>
        <v>9</v>
      </c>
      <c r="H12" s="56">
        <f t="shared" si="0"/>
        <v>264.44252</v>
      </c>
      <c r="I12" s="49">
        <f t="shared" si="2"/>
        <v>143.83920960198341</v>
      </c>
      <c r="J12" s="70">
        <f>IF(OR(G12=0,G12=0+$B$22,G12=0+$B$22+$B$22,G12=0+$B$22+$B$22+$B$22),$B$22*$D$18*(1+$D$19)^G12+$D$20+$D$11*$D$10+$D$24*$B$13+($D$25-$B$13)*'SCENARIO 0'!$D$13,IF(G12="None",0,($D$11*$D$10)+$D$24*$B$13+($D$25-$B$13)*'SCENARIO 0'!$D$13))</f>
        <v>6362.75</v>
      </c>
      <c r="K12" s="46">
        <f t="shared" si="3"/>
        <v>3460.9144206272877</v>
      </c>
    </row>
    <row r="13" spans="1:11" x14ac:dyDescent="0.2">
      <c r="A13" s="60" t="s">
        <v>67</v>
      </c>
      <c r="B13" s="81">
        <f>'SCENARIO 1'!B12</f>
        <v>10</v>
      </c>
      <c r="C13" s="64"/>
      <c r="D13" s="64"/>
      <c r="E13" s="42"/>
      <c r="G13" s="53">
        <f t="shared" si="1"/>
        <v>10</v>
      </c>
      <c r="H13" s="56">
        <f t="shared" si="0"/>
        <v>264.44252</v>
      </c>
      <c r="I13" s="49">
        <f t="shared" si="2"/>
        <v>134.42916785232094</v>
      </c>
      <c r="J13" s="70">
        <f>IF(OR(G13=0,G13=0+$B$22,G13=0+$B$22+$B$22,G13=0+$B$22+$B$22+$B$22),$B$22*$D$18*(1+$D$19)^G13+$D$20+$D$11*$D$10+$D$24*$B$13+($D$25-$B$13)*'SCENARIO 0'!$D$13,IF(G13="None",0,($D$11*$D$10)+$D$24*$B$13+($D$25-$B$13)*'SCENARIO 0'!$D$13))</f>
        <v>6362.75</v>
      </c>
      <c r="K13" s="46">
        <f t="shared" si="3"/>
        <v>3234.4994585301756</v>
      </c>
    </row>
    <row r="14" spans="1:11" x14ac:dyDescent="0.2">
      <c r="A14" s="60"/>
      <c r="B14" s="60"/>
      <c r="C14" s="64"/>
      <c r="D14" s="76">
        <f>'SCENARIO 1'!D13</f>
        <v>816.9387010694561</v>
      </c>
      <c r="E14" s="42" t="s">
        <v>35</v>
      </c>
      <c r="G14" s="53">
        <f t="shared" si="1"/>
        <v>11</v>
      </c>
      <c r="H14" s="56">
        <f t="shared" si="0"/>
        <v>264.44252</v>
      </c>
      <c r="I14" s="49">
        <f t="shared" si="2"/>
        <v>125.63473631058031</v>
      </c>
      <c r="J14" s="70">
        <f>IF(OR(G14=0,G14=0+$B$22,G14=0+$B$22+$B$22,G14=0+$B$22+$B$22+$B$22),$B$22*$D$18*(1+$D$19)^G14+$D$20+$D$11*$D$10+$D$24*$B$13+($D$25-$B$13)*'SCENARIO 0'!$D$13,IF(G14="None",0,($D$11*$D$10)+$D$24*$B$13+($D$25-$B$13)*'SCENARIO 0'!$D$13))</f>
        <v>6362.75</v>
      </c>
      <c r="K14" s="46">
        <f t="shared" si="3"/>
        <v>3022.8966902151169</v>
      </c>
    </row>
    <row r="15" spans="1:11" x14ac:dyDescent="0.2">
      <c r="A15" s="60" t="s">
        <v>50</v>
      </c>
      <c r="B15" s="81">
        <f>'SCENARIO 2'!B14</f>
        <v>70</v>
      </c>
      <c r="C15" s="64"/>
      <c r="D15" s="64"/>
      <c r="E15" s="42" t="s">
        <v>34</v>
      </c>
      <c r="G15" s="53">
        <f t="shared" si="1"/>
        <v>12</v>
      </c>
      <c r="H15" s="56">
        <f t="shared" si="0"/>
        <v>264.44252</v>
      </c>
      <c r="I15" s="49">
        <f t="shared" si="2"/>
        <v>117.41564141175732</v>
      </c>
      <c r="J15" s="70">
        <f>IF(OR(G15=0,G15=0+$B$22,G15=0+$B$22+$B$22,G15=0+$B$22+$B$22+$B$22),$B$22*$D$18*(1+$D$19)^G15+$D$20+$D$11*$D$10+$D$24*$B$13+($D$25-$B$13)*'SCENARIO 0'!$D$13,IF(G15="None",0,($D$11*$D$10)+$D$24*$B$13+($D$25-$B$13)*'SCENARIO 0'!$D$13))</f>
        <v>6362.75</v>
      </c>
      <c r="K15" s="46">
        <f t="shared" si="3"/>
        <v>2825.1370936589883</v>
      </c>
    </row>
    <row r="16" spans="1:11" x14ac:dyDescent="0.2">
      <c r="A16" s="60" t="s">
        <v>51</v>
      </c>
      <c r="B16" s="81">
        <f>'SCENARIO 1'!B14</f>
        <v>12</v>
      </c>
      <c r="C16" s="64"/>
      <c r="D16" s="64"/>
      <c r="E16" s="42"/>
      <c r="G16" s="53">
        <f t="shared" si="1"/>
        <v>13</v>
      </c>
      <c r="H16" s="56">
        <f t="shared" si="0"/>
        <v>264.44252</v>
      </c>
      <c r="I16" s="49">
        <f t="shared" si="2"/>
        <v>109.73424431005357</v>
      </c>
      <c r="J16" s="70">
        <f>IF(OR(G16=0,G16=0+$B$22,G16=0+$B$22+$B$22,G16=0+$B$22+$B$22+$B$22),$B$22*$D$18*(1+$D$19)^G16+$D$20+$D$11*$D$10+$D$24*$B$13+($D$25-$B$13)*'SCENARIO 0'!$D$13,IF(G16="None",0,($D$11*$D$10)+$D$24*$B$13+($D$25-$B$13)*'SCENARIO 0'!$D$13))</f>
        <v>6362.75</v>
      </c>
      <c r="K16" s="46">
        <f t="shared" si="3"/>
        <v>2640.3150408027927</v>
      </c>
    </row>
    <row r="17" spans="1:11" x14ac:dyDescent="0.2">
      <c r="A17" s="60"/>
      <c r="B17" s="60"/>
      <c r="C17" s="64" t="s">
        <v>54</v>
      </c>
      <c r="D17" s="76">
        <f>D14*B15</f>
        <v>57185.70907486193</v>
      </c>
      <c r="E17" s="42" t="s">
        <v>33</v>
      </c>
      <c r="G17" s="53">
        <f t="shared" si="1"/>
        <v>14</v>
      </c>
      <c r="H17" s="56">
        <f t="shared" si="0"/>
        <v>264.44252</v>
      </c>
      <c r="I17" s="49">
        <f t="shared" si="2"/>
        <v>102.55536851406876</v>
      </c>
      <c r="J17" s="70">
        <f>IF(OR(G17=0,G17=0+$B$22,G17=0+$B$22+$B$22,G17=0+$B$22+$B$22+$B$22),$B$22*$D$18*(1+$D$19)^G17+$D$20+$D$11*$D$10+$D$24*$B$13+($D$25-$B$13)*'SCENARIO 0'!$D$13,IF(G17="None",0,($D$11*$D$10)+$D$24*$B$13+($D$25-$B$13)*'SCENARIO 0'!$D$13))</f>
        <v>6362.75</v>
      </c>
      <c r="K17" s="46">
        <f t="shared" si="3"/>
        <v>2467.584150282984</v>
      </c>
    </row>
    <row r="18" spans="1:11" x14ac:dyDescent="0.2">
      <c r="A18" s="60"/>
      <c r="B18" s="60"/>
      <c r="C18" s="64" t="s">
        <v>55</v>
      </c>
      <c r="D18" s="76">
        <f>D14*B16</f>
        <v>9803.2644128334723</v>
      </c>
      <c r="E18" s="42"/>
      <c r="G18" s="53">
        <f t="shared" si="1"/>
        <v>15</v>
      </c>
      <c r="H18" s="56">
        <f t="shared" si="0"/>
        <v>264.44252</v>
      </c>
      <c r="I18" s="49">
        <f t="shared" si="2"/>
        <v>95.846138798195085</v>
      </c>
      <c r="J18" s="70">
        <f>IF(OR(G18=0,G18=0+$B$22,G18=0+$B$22+$B$22,G18=0+$B$22+$B$22+$B$22),$B$22*$D$18*(1+$D$19)^G18+$D$20+$D$11*$D$10+$D$24*$B$13+($D$25-$B$13)*'SCENARIO 0'!$D$13,IF(G18="None",0,($D$11*$D$10)+$D$24*$B$13+($D$25-$B$13)*'SCENARIO 0'!$D$13))</f>
        <v>63598.313931984783</v>
      </c>
      <c r="K18" s="46">
        <f t="shared" si="3"/>
        <v>23050.955740613113</v>
      </c>
    </row>
    <row r="19" spans="1:11" x14ac:dyDescent="0.2">
      <c r="A19" s="60"/>
      <c r="B19" s="60"/>
      <c r="C19" s="64"/>
      <c r="D19" s="77">
        <f>'Battery cost trend'!B28</f>
        <v>-7.1617328488423518E-2</v>
      </c>
      <c r="E19" s="42" t="s">
        <v>28</v>
      </c>
      <c r="G19" s="53">
        <f t="shared" si="1"/>
        <v>16</v>
      </c>
      <c r="H19" s="56">
        <f t="shared" si="0"/>
        <v>264.44252</v>
      </c>
      <c r="I19" s="49">
        <f t="shared" si="2"/>
        <v>89.575830652518789</v>
      </c>
      <c r="J19" s="70">
        <f>IF(OR(G19=0,G19=0+$B$22,G19=0+$B$22+$B$22,G19=0+$B$22+$B$22+$B$22),$B$22*$D$18*(1+$D$19)^G19+$D$20+$D$11*$D$10+$D$24*$B$13+($D$25-$B$13)*'SCENARIO 0'!$D$13,IF(G19="None",0,($D$11*$D$10)+$D$24*$B$13+($D$25-$B$13)*'SCENARIO 0'!$D$13))</f>
        <v>6362.75</v>
      </c>
      <c r="K19" s="46">
        <f t="shared" si="3"/>
        <v>2155.2835621303029</v>
      </c>
    </row>
    <row r="20" spans="1:11" x14ac:dyDescent="0.2">
      <c r="A20" s="60"/>
      <c r="B20" s="60"/>
      <c r="C20" s="64"/>
      <c r="D20" s="66">
        <v>9000</v>
      </c>
      <c r="E20" s="42" t="s">
        <v>33</v>
      </c>
      <c r="G20" s="53">
        <f t="shared" si="1"/>
        <v>17</v>
      </c>
      <c r="H20" s="56">
        <f t="shared" si="0"/>
        <v>264.44252</v>
      </c>
      <c r="I20" s="49">
        <f t="shared" si="2"/>
        <v>83.715729581793255</v>
      </c>
      <c r="J20" s="70">
        <f>IF(OR(G20=0,G20=0+$B$22,G20=0+$B$22+$B$22,G20=0+$B$22+$B$22+$B$22),$B$22*$D$18*(1+$D$19)^G20+$D$20+$D$11*$D$10+$D$24*$B$13+($D$25-$B$13)*'SCENARIO 0'!$D$13,IF(G20="None",0,($D$11*$D$10)+$D$24*$B$13+($D$25-$B$13)*'SCENARIO 0'!$D$13))</f>
        <v>6362.75</v>
      </c>
      <c r="K20" s="46">
        <f t="shared" si="3"/>
        <v>2014.283702925517</v>
      </c>
    </row>
    <row r="21" spans="1:11" x14ac:dyDescent="0.2">
      <c r="A21" s="60" t="s">
        <v>52</v>
      </c>
      <c r="B21" s="81">
        <f>'SCENARIO 2'!B18</f>
        <v>18</v>
      </c>
      <c r="C21" s="64"/>
      <c r="D21" s="64"/>
      <c r="E21" s="42" t="s">
        <v>31</v>
      </c>
      <c r="G21" s="53">
        <f t="shared" si="1"/>
        <v>18</v>
      </c>
      <c r="H21" s="56">
        <f t="shared" si="0"/>
        <v>37108.836263950434</v>
      </c>
      <c r="I21" s="49">
        <f t="shared" si="2"/>
        <v>10979.165627189323</v>
      </c>
      <c r="J21" s="70">
        <f>IF(OR(G21=0,G21=0+$B$22,G21=0+$B$22+$B$22,G21=0+$B$22+$B$22+$B$22),$B$22*$D$18*(1+$D$19)^G21+$D$20+$D$11*$D$10+$D$24*$B$13+($D$25-$B$13)*'SCENARIO 0'!$D$13,IF(G21="None",0,($D$11*$D$10)+$D$24*$B$13+($D$25-$B$13)*'SCENARIO 0'!$D$13))</f>
        <v>6362.75</v>
      </c>
      <c r="K21" s="46">
        <f t="shared" si="3"/>
        <v>1882.5081335752493</v>
      </c>
    </row>
    <row r="22" spans="1:11" x14ac:dyDescent="0.2">
      <c r="A22" s="60" t="s">
        <v>53</v>
      </c>
      <c r="B22" s="81">
        <f>'SCENARIO 1'!B18</f>
        <v>15</v>
      </c>
      <c r="C22" s="64"/>
      <c r="D22" s="64"/>
      <c r="E22" s="42"/>
      <c r="G22" s="53">
        <f t="shared" si="1"/>
        <v>19</v>
      </c>
      <c r="H22" s="56">
        <f t="shared" si="0"/>
        <v>264.44252</v>
      </c>
      <c r="I22" s="49">
        <f t="shared" si="2"/>
        <v>73.120560382385577</v>
      </c>
      <c r="J22" s="70">
        <f>IF(OR(G22=0,G22=0+$B$22,G22=0+$B$22+$B$22,G22=0+$B$22+$B$22+$B$22),$B$22*$D$18*(1+$D$19)^G22+$D$20+$D$11*$D$10+$D$24*$B$13+($D$25-$B$13)*'SCENARIO 0'!$D$13,IF(G22="None",0,($D$11*$D$10)+$D$24*$B$13+($D$25-$B$13)*'SCENARIO 0'!$D$13))</f>
        <v>6362.75</v>
      </c>
      <c r="K22" s="46">
        <f t="shared" si="3"/>
        <v>1759.353395864719</v>
      </c>
    </row>
    <row r="23" spans="1:11" x14ac:dyDescent="0.2">
      <c r="A23" s="60"/>
      <c r="B23" s="60"/>
      <c r="C23" s="64" t="s">
        <v>60</v>
      </c>
      <c r="D23" s="64">
        <v>800</v>
      </c>
      <c r="E23" s="42" t="s">
        <v>62</v>
      </c>
      <c r="G23" s="53">
        <f t="shared" si="1"/>
        <v>20</v>
      </c>
      <c r="H23" s="56">
        <f t="shared" si="0"/>
        <v>264.44252</v>
      </c>
      <c r="I23" s="49">
        <f t="shared" si="2"/>
        <v>68.336972319986529</v>
      </c>
      <c r="J23" s="70">
        <f>IF(OR(G23=0,G23=0+$B$22,G23=0+$B$22+$B$22,G23=0+$B$22+$B$22+$B$22),$B$22*$D$18*(1+$D$19)^G23+$D$20+$D$11*$D$10+$D$24*$B$13+($D$25-$B$13)*'SCENARIO 0'!$D$13,IF(G23="None",0,($D$11*$D$10)+$D$24*$B$13+($D$25-$B$13)*'SCENARIO 0'!$D$13))</f>
        <v>6362.75</v>
      </c>
      <c r="K23" s="46">
        <f t="shared" si="3"/>
        <v>1644.2555101539431</v>
      </c>
    </row>
    <row r="24" spans="1:11" x14ac:dyDescent="0.2">
      <c r="A24" s="60"/>
      <c r="B24" s="60"/>
      <c r="C24" s="64" t="s">
        <v>63</v>
      </c>
      <c r="D24" s="81">
        <f>D23*D9</f>
        <v>248</v>
      </c>
      <c r="E24" s="42" t="s">
        <v>61</v>
      </c>
      <c r="G24" s="53" t="str">
        <f t="shared" si="1"/>
        <v>None</v>
      </c>
      <c r="H24" s="56">
        <f t="shared" si="0"/>
        <v>0</v>
      </c>
      <c r="I24" s="49">
        <f t="shared" si="2"/>
        <v>0</v>
      </c>
      <c r="J24" s="70">
        <f>IF(OR(G24=0,G24=0+$B$22,G24=0+$B$22+$B$22,G24=0+$B$22+$B$22+$B$22),$B$22*$D$18*(1+$D$19)^G24+$D$20+$D$11*$D$10+$D$24*$B$13+($D$25-$B$13)*'SCENARIO 0'!$D$13,IF(G24="None",0,($D$11*$D$10)+$D$24*$B$13+($D$25-$B$13)*'SCENARIO 0'!$D$13))</f>
        <v>0</v>
      </c>
      <c r="K24" s="46">
        <f t="shared" si="3"/>
        <v>0</v>
      </c>
    </row>
    <row r="25" spans="1:11" x14ac:dyDescent="0.2">
      <c r="A25" s="60"/>
      <c r="B25" s="60"/>
      <c r="C25" s="64" t="s">
        <v>64</v>
      </c>
      <c r="D25" s="81">
        <f>'SCENARIO 1'!D21</f>
        <v>15</v>
      </c>
      <c r="E25" s="42" t="s">
        <v>43</v>
      </c>
      <c r="G25" s="53" t="str">
        <f t="shared" si="1"/>
        <v>None</v>
      </c>
      <c r="H25" s="56">
        <f t="shared" si="0"/>
        <v>0</v>
      </c>
      <c r="I25" s="49">
        <f t="shared" si="2"/>
        <v>0</v>
      </c>
      <c r="J25" s="70">
        <f>IF(OR(G25=0,G25=0+$B$22,G25=0+$B$22+$B$22,G25=0+$B$22+$B$22+$B$22),$B$22*$D$18*(1+$D$19)^G25+$D$20+$D$11*$D$10+$D$24*$B$13+($D$25-$B$13)*'SCENARIO 0'!$D$13,IF(G25="None",0,($D$11*$D$10)+$D$24*$B$13+($D$25-$B$13)*'SCENARIO 0'!$D$13))</f>
        <v>0</v>
      </c>
      <c r="K25" s="46">
        <f t="shared" si="3"/>
        <v>0</v>
      </c>
    </row>
    <row r="26" spans="1:11" x14ac:dyDescent="0.2">
      <c r="A26" s="60"/>
      <c r="B26" s="60"/>
      <c r="C26" s="64" t="s">
        <v>39</v>
      </c>
      <c r="D26" s="74">
        <f>SUM(I3:I33)</f>
        <v>92987.212046442248</v>
      </c>
      <c r="E26" s="42" t="s">
        <v>33</v>
      </c>
      <c r="G26" s="53" t="str">
        <f t="shared" si="1"/>
        <v>None</v>
      </c>
      <c r="H26" s="56">
        <f t="shared" si="0"/>
        <v>0</v>
      </c>
      <c r="I26" s="49">
        <f t="shared" si="2"/>
        <v>0</v>
      </c>
      <c r="J26" s="70">
        <f>IF(OR(G26=0,G26=0+$B$22,G26=0+$B$22+$B$22,G26=0+$B$22+$B$22+$B$22),$B$22*$D$18*(1+$D$19)^G26+$D$20+$D$11*$D$10+$D$24*$B$13+($D$25-$B$13)*'SCENARIO 0'!$D$13,IF(G26="None",0,($D$11*$D$10)+$D$24*$B$13+($D$25-$B$13)*'SCENARIO 0'!$D$13))</f>
        <v>0</v>
      </c>
      <c r="K26" s="46">
        <f t="shared" si="3"/>
        <v>0</v>
      </c>
    </row>
    <row r="27" spans="1:11" x14ac:dyDescent="0.2">
      <c r="A27" s="60"/>
      <c r="B27" s="60"/>
      <c r="C27" s="64" t="s">
        <v>40</v>
      </c>
      <c r="D27" s="74">
        <f>SUM(K3:K33)</f>
        <v>250563.58266229377</v>
      </c>
      <c r="E27" s="42" t="s">
        <v>33</v>
      </c>
      <c r="G27" s="53" t="str">
        <f t="shared" si="1"/>
        <v>None</v>
      </c>
      <c r="H27" s="56">
        <f t="shared" si="0"/>
        <v>0</v>
      </c>
      <c r="I27" s="49">
        <f t="shared" si="2"/>
        <v>0</v>
      </c>
      <c r="J27" s="70">
        <f>IF(OR(G27=0,G27=0+$B$22,G27=0+$B$22+$B$22,G27=0+$B$22+$B$22+$B$22),$B$22*$D$18*(1+$D$19)^G27+$D$20+$D$11*$D$10+$D$24*$B$13+($D$25-$B$13)*'SCENARIO 0'!$D$13,IF(G27="None",0,($D$11*$D$10)+$D$24*$B$13+($D$25-$B$13)*'SCENARIO 0'!$D$13))</f>
        <v>0</v>
      </c>
      <c r="K27" s="46">
        <f t="shared" si="3"/>
        <v>0</v>
      </c>
    </row>
    <row r="28" spans="1:11" x14ac:dyDescent="0.2">
      <c r="A28" s="60"/>
      <c r="B28" s="60"/>
      <c r="C28" s="64"/>
      <c r="D28" s="10"/>
      <c r="E28" s="42"/>
      <c r="G28" s="53" t="str">
        <f t="shared" si="1"/>
        <v>None</v>
      </c>
      <c r="H28" s="56">
        <f t="shared" si="0"/>
        <v>0</v>
      </c>
      <c r="I28" s="49">
        <f t="shared" si="2"/>
        <v>0</v>
      </c>
      <c r="J28" s="70">
        <f>IF(OR(G28=0,G28=0+$B$22,G28=0+$B$22+$B$22,G28=0+$B$22+$B$22+$B$22),$B$22*$D$18*(1+$D$19)^G28+$D$20+$D$11*$D$10+$D$24*$B$13+($D$25-$B$13)*'SCENARIO 0'!$D$13,IF(G28="None",0,($D$11*$D$10)+$D$24*$B$13+($D$25-$B$13)*'SCENARIO 0'!$D$13))</f>
        <v>0</v>
      </c>
      <c r="K28" s="46">
        <f t="shared" si="3"/>
        <v>0</v>
      </c>
    </row>
    <row r="29" spans="1:11" x14ac:dyDescent="0.2">
      <c r="G29" s="53" t="str">
        <f t="shared" si="1"/>
        <v>None</v>
      </c>
      <c r="H29" s="56">
        <f t="shared" si="0"/>
        <v>0</v>
      </c>
      <c r="I29" s="49">
        <f t="shared" si="2"/>
        <v>0</v>
      </c>
      <c r="J29" s="70">
        <f>IF(OR(G29=0,G29=0+$B$22,G29=0+$B$22+$B$22,G29=0+$B$22+$B$22+$B$22),$B$22*$D$18*(1+$D$19)^G29+$D$20+$D$11*$D$10+$D$24*$B$13+($D$25-$B$13)*'SCENARIO 0'!$D$13,IF(G29="None",0,($D$11*$D$10)+$D$24*$B$13+($D$25-$B$13)*'SCENARIO 0'!$D$13))</f>
        <v>0</v>
      </c>
      <c r="K29" s="46">
        <f t="shared" si="3"/>
        <v>0</v>
      </c>
    </row>
    <row r="30" spans="1:11" x14ac:dyDescent="0.2">
      <c r="G30" s="53" t="str">
        <f t="shared" si="1"/>
        <v>None</v>
      </c>
      <c r="H30" s="56">
        <f t="shared" si="0"/>
        <v>0</v>
      </c>
      <c r="I30" s="49">
        <f t="shared" si="2"/>
        <v>0</v>
      </c>
      <c r="J30" s="70">
        <f>IF(OR(G30=0,G30=0+$B$22,G30=0+$B$22+$B$22,G30=0+$B$22+$B$22+$B$22),$B$22*$D$18*(1+$D$19)^G30+$D$20+$D$11*$D$10+$D$24*$B$13+($D$25-$B$13)*'SCENARIO 0'!$D$13,IF(G30="None",0,($D$11*$D$10)+$D$24*$B$13+($D$25-$B$13)*'SCENARIO 0'!$D$13))</f>
        <v>0</v>
      </c>
      <c r="K30" s="46">
        <f t="shared" si="3"/>
        <v>0</v>
      </c>
    </row>
    <row r="31" spans="1:11" x14ac:dyDescent="0.2">
      <c r="G31" s="53" t="str">
        <f t="shared" si="1"/>
        <v>None</v>
      </c>
      <c r="H31" s="56">
        <f t="shared" si="0"/>
        <v>0</v>
      </c>
      <c r="I31" s="49">
        <f t="shared" si="2"/>
        <v>0</v>
      </c>
      <c r="J31" s="70">
        <f>IF(OR(G31=0,G31=0+$B$22,G31=0+$B$22+$B$22,G31=0+$B$22+$B$22+$B$22),$B$22*$D$18*(1+$D$19)^G31+$D$20+$D$11*$D$10+$D$24*$B$13+($D$25-$B$13)*'SCENARIO 0'!$D$13,IF(G31="None",0,($D$11*$D$10)+$D$24*$B$13+($D$25-$B$13)*'SCENARIO 0'!$D$13))</f>
        <v>0</v>
      </c>
      <c r="K31" s="46">
        <f t="shared" si="3"/>
        <v>0</v>
      </c>
    </row>
    <row r="32" spans="1:11" x14ac:dyDescent="0.2">
      <c r="G32" s="53" t="str">
        <f t="shared" si="1"/>
        <v>None</v>
      </c>
      <c r="H32" s="56">
        <f t="shared" si="0"/>
        <v>0</v>
      </c>
      <c r="I32" s="49">
        <f t="shared" si="2"/>
        <v>0</v>
      </c>
      <c r="J32" s="70">
        <f>IF(OR(G32=0,G32=0+$B$22,G32=0+$B$22+$B$22,G32=0+$B$22+$B$22+$B$22),$B$22*$D$18*(1+$D$19)^G32+$D$20+$D$11*$D$10+$D$24*$B$13+($D$25-$B$13)*'SCENARIO 0'!$D$13,IF(G32="None",0,($D$11*$D$10)+$D$24*$B$13+($D$25-$B$13)*'SCENARIO 0'!$D$13))</f>
        <v>0</v>
      </c>
      <c r="K32" s="46">
        <f t="shared" si="3"/>
        <v>0</v>
      </c>
    </row>
    <row r="33" spans="7:11" x14ac:dyDescent="0.2">
      <c r="G33" s="54" t="str">
        <f t="shared" si="1"/>
        <v>None</v>
      </c>
      <c r="H33" s="57">
        <f t="shared" si="0"/>
        <v>0</v>
      </c>
      <c r="I33" s="50">
        <f t="shared" si="2"/>
        <v>0</v>
      </c>
      <c r="J33" s="71">
        <f>IF(OR(G33=0,G33=0+$B$22,G33=0+$B$22+$B$22,G33=0+$B$22+$B$22+$B$22),$B$22*$D$18*(1+$D$19)^G33+$D$20+$D$11*$D$10+$D$24*$B$13+($D$25-$B$13)*'SCENARIO 0'!$D$13,IF(G33="None",0,($D$11*$D$10)+$D$24*$B$13+($D$25-$B$13)*'SCENARIO 0'!$D$13))</f>
        <v>0</v>
      </c>
      <c r="K33" s="47">
        <f t="shared" si="3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8F5-65B6-D442-8412-9C2EDD9894B6}">
  <dimension ref="A1:E5"/>
  <sheetViews>
    <sheetView workbookViewId="0">
      <selection activeCell="C2" sqref="C2"/>
    </sheetView>
  </sheetViews>
  <sheetFormatPr baseColWidth="10" defaultRowHeight="16" x14ac:dyDescent="0.2"/>
  <cols>
    <col min="1" max="1" width="29.5" style="37" bestFit="1" customWidth="1"/>
    <col min="2" max="2" width="22.1640625" style="37" customWidth="1"/>
    <col min="3" max="3" width="23" style="37" customWidth="1"/>
    <col min="4" max="5" width="21.5" style="37" customWidth="1"/>
    <col min="6" max="16384" width="10.83203125" style="37"/>
  </cols>
  <sheetData>
    <row r="1" spans="1:5" ht="51" x14ac:dyDescent="0.2">
      <c r="B1" s="79" t="s">
        <v>45</v>
      </c>
      <c r="C1" s="79" t="s">
        <v>46</v>
      </c>
      <c r="D1" s="79" t="s">
        <v>47</v>
      </c>
      <c r="E1" s="79" t="s">
        <v>48</v>
      </c>
    </row>
    <row r="2" spans="1:5" x14ac:dyDescent="0.2">
      <c r="A2" s="80" t="s">
        <v>39</v>
      </c>
      <c r="B2" s="82">
        <f>'SCENARIO 0'!D15</f>
        <v>42831.734239651378</v>
      </c>
      <c r="C2" s="82">
        <f>'SCENARIO 1'!D22</f>
        <v>38084.027857379064</v>
      </c>
      <c r="D2" s="82">
        <f>'SCENARIO 2'!D22</f>
        <v>120845.4206456465</v>
      </c>
      <c r="E2" s="82">
        <f>'SCENARIO 3'!D26</f>
        <v>92987.212046442248</v>
      </c>
    </row>
    <row r="3" spans="1:5" x14ac:dyDescent="0.2">
      <c r="A3" s="80" t="s">
        <v>65</v>
      </c>
      <c r="B3" s="82">
        <f>B4-B2</f>
        <v>136577.48781218039</v>
      </c>
      <c r="C3" s="82">
        <f>C4-C2</f>
        <v>210725.21748460151</v>
      </c>
      <c r="D3" s="82">
        <f>D4-D2</f>
        <v>134960.12282493088</v>
      </c>
      <c r="E3" s="82">
        <f>E4-E2</f>
        <v>250563.58266229375</v>
      </c>
    </row>
    <row r="4" spans="1:5" x14ac:dyDescent="0.2">
      <c r="A4" s="80" t="s">
        <v>44</v>
      </c>
      <c r="B4" s="82">
        <f>'SCENARIO 0'!D15+'SCENARIO 0'!D16</f>
        <v>179409.22205183178</v>
      </c>
      <c r="C4" s="82">
        <f>'SCENARIO 1'!D22+'SCENARIO 1'!D23</f>
        <v>248809.24534198057</v>
      </c>
      <c r="D4" s="82">
        <f>'SCENARIO 2'!D22+'SCENARIO 2'!D23</f>
        <v>255805.5434705774</v>
      </c>
      <c r="E4" s="82">
        <f>'SCENARIO 3'!D27+'SCENARIO 3'!D26</f>
        <v>343550.79470873601</v>
      </c>
    </row>
    <row r="5" spans="1:5" x14ac:dyDescent="0.2">
      <c r="A5" s="80" t="s">
        <v>66</v>
      </c>
      <c r="B5" s="82"/>
      <c r="C5" s="82">
        <f>C3-B3</f>
        <v>74147.729672421119</v>
      </c>
      <c r="D5" s="82">
        <f>D3-B3</f>
        <v>-1617.3649872495153</v>
      </c>
      <c r="E5" s="82">
        <f>E3-B3</f>
        <v>113986.09485011335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Input regression PV</vt:lpstr>
      <vt:lpstr>Battery cost trend</vt:lpstr>
      <vt:lpstr>SCENARIO 0</vt:lpstr>
      <vt:lpstr>SCENARIO 1</vt:lpstr>
      <vt:lpstr>SCENARIO 2</vt:lpstr>
      <vt:lpstr>SCENARIO 3</vt:lpstr>
      <vt:lpstr>COMPARISON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2019-05-07T09:48:13Z</dcterms:created>
  <dcterms:modified xsi:type="dcterms:W3CDTF">2019-07-05T13:55:03Z</dcterms:modified>
</cp:coreProperties>
</file>