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ssoal\MAIACOMM\Jon Project\"/>
    </mc:Choice>
  </mc:AlternateContent>
  <xr:revisionPtr revIDLastSave="0" documentId="13_ncr:1_{8674B766-EA29-4750-B326-FE5A5D3D24C1}" xr6:coauthVersionLast="44" xr6:coauthVersionMax="45" xr10:uidLastSave="{00000000-0000-0000-0000-000000000000}"/>
  <bookViews>
    <workbookView xWindow="-120" yWindow="-120" windowWidth="29040" windowHeight="15840" xr2:uid="{5AA67479-7ED0-4AD1-A8CE-A3F681762605}"/>
  </bookViews>
  <sheets>
    <sheet name="Analyzier - Inputs" sheetId="1" r:id="rId1"/>
    <sheet name="Miner Performance &amp; Resilience" sheetId="6" r:id="rId2"/>
    <sheet name="Miner Analyzier - Financial KPI" sheetId="4" r:id="rId3"/>
    <sheet name="Cash Flow - DC Operat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G28" i="1"/>
  <c r="G29" i="1"/>
  <c r="G30" i="1"/>
  <c r="G31" i="1"/>
  <c r="G32" i="1"/>
  <c r="G33" i="1"/>
  <c r="G27" i="1"/>
  <c r="D32" i="6" l="1"/>
  <c r="D33" i="6"/>
  <c r="D34" i="6"/>
  <c r="D35" i="6"/>
  <c r="D36" i="6"/>
  <c r="D37" i="6"/>
  <c r="D31" i="6"/>
  <c r="C26" i="6"/>
  <c r="C32" i="6"/>
  <c r="C33" i="6"/>
  <c r="C34" i="6"/>
  <c r="C35" i="6"/>
  <c r="C36" i="6"/>
  <c r="C37" i="6"/>
  <c r="C31" i="6"/>
  <c r="D6" i="6"/>
  <c r="D7" i="6"/>
  <c r="D8" i="6"/>
  <c r="D9" i="6"/>
  <c r="D10" i="6"/>
  <c r="D11" i="6"/>
  <c r="D5" i="6"/>
  <c r="B32" i="6"/>
  <c r="B33" i="6"/>
  <c r="B34" i="6"/>
  <c r="B35" i="6"/>
  <c r="B36" i="6"/>
  <c r="B37" i="6"/>
  <c r="B31" i="6"/>
  <c r="B6" i="6"/>
  <c r="B7" i="6"/>
  <c r="B8" i="6"/>
  <c r="B9" i="6"/>
  <c r="B10" i="6"/>
  <c r="B11" i="6"/>
  <c r="B5" i="6"/>
  <c r="O32" i="6" l="1"/>
  <c r="F33" i="6"/>
  <c r="E31" i="6"/>
  <c r="N37" i="6"/>
  <c r="N36" i="6"/>
  <c r="N34" i="6"/>
  <c r="N33" i="6"/>
  <c r="O31" i="6"/>
  <c r="M31" i="6"/>
  <c r="M36" i="6"/>
  <c r="M33" i="6"/>
  <c r="E33" i="6"/>
  <c r="F35" i="6"/>
  <c r="I31" i="6"/>
  <c r="G37" i="6"/>
  <c r="G36" i="6"/>
  <c r="G35" i="6"/>
  <c r="G34" i="6"/>
  <c r="G33" i="6"/>
  <c r="G32" i="6"/>
  <c r="F37" i="6"/>
  <c r="L36" i="6"/>
  <c r="L34" i="6"/>
  <c r="L32" i="6"/>
  <c r="K37" i="6"/>
  <c r="K35" i="6"/>
  <c r="K33" i="6"/>
  <c r="O35" i="6"/>
  <c r="F34" i="6"/>
  <c r="J37" i="6"/>
  <c r="J35" i="6"/>
  <c r="J33" i="6"/>
  <c r="O34" i="6"/>
  <c r="E35" i="6"/>
  <c r="H31" i="6"/>
  <c r="I37" i="6"/>
  <c r="I36" i="6"/>
  <c r="I35" i="6"/>
  <c r="I34" i="6"/>
  <c r="I33" i="6"/>
  <c r="I32" i="6"/>
  <c r="O33" i="6"/>
  <c r="N31" i="6"/>
  <c r="N35" i="6"/>
  <c r="N32" i="6"/>
  <c r="F31" i="6"/>
  <c r="M37" i="6"/>
  <c r="M35" i="6"/>
  <c r="M34" i="6"/>
  <c r="M32" i="6"/>
  <c r="O37" i="6"/>
  <c r="E32" i="6"/>
  <c r="L31" i="6"/>
  <c r="L37" i="6"/>
  <c r="L35" i="6"/>
  <c r="L33" i="6"/>
  <c r="O36" i="6"/>
  <c r="E37" i="6"/>
  <c r="F36" i="6"/>
  <c r="K31" i="6"/>
  <c r="K36" i="6"/>
  <c r="K34" i="6"/>
  <c r="K32" i="6"/>
  <c r="E36" i="6"/>
  <c r="J31" i="6"/>
  <c r="J36" i="6"/>
  <c r="J34" i="6"/>
  <c r="J32" i="6"/>
  <c r="E34" i="6"/>
  <c r="F32" i="6"/>
  <c r="G31" i="6"/>
  <c r="H37" i="6"/>
  <c r="H36" i="6"/>
  <c r="H35" i="6"/>
  <c r="H34" i="6"/>
  <c r="H33" i="6"/>
  <c r="H32" i="6"/>
  <c r="C6" i="6"/>
  <c r="C7" i="6"/>
  <c r="C8" i="6"/>
  <c r="C9" i="6"/>
  <c r="C10" i="6"/>
  <c r="C11" i="6"/>
  <c r="C5" i="6"/>
  <c r="C57" i="1" l="1"/>
  <c r="E4" i="4"/>
  <c r="G49" i="5" l="1"/>
  <c r="AT2" i="5"/>
  <c r="AS2" i="5"/>
  <c r="AR2" i="5"/>
  <c r="AQ2" i="5"/>
  <c r="AP2" i="5"/>
  <c r="H4" i="4" l="1"/>
  <c r="AP1" i="5"/>
  <c r="B24" i="4"/>
  <c r="B25" i="4"/>
  <c r="AO2" i="5"/>
  <c r="AN2" i="5"/>
  <c r="AM2" i="5"/>
  <c r="AL2" i="5"/>
  <c r="AK2" i="5"/>
  <c r="AK1" i="5"/>
  <c r="H11" i="1"/>
  <c r="C22" i="4" s="1"/>
  <c r="H12" i="1"/>
  <c r="C23" i="4" s="1"/>
  <c r="H13" i="1"/>
  <c r="E32" i="1" s="1"/>
  <c r="D24" i="4" s="1"/>
  <c r="H14" i="1"/>
  <c r="E33" i="1" s="1"/>
  <c r="D25" i="4" s="1"/>
  <c r="H9" i="1"/>
  <c r="C20" i="4" s="1"/>
  <c r="G13" i="1"/>
  <c r="G14" i="1"/>
  <c r="D9" i="1"/>
  <c r="D10" i="1"/>
  <c r="G10" i="1" s="1"/>
  <c r="D11" i="1"/>
  <c r="G11" i="1" s="1"/>
  <c r="D12" i="1"/>
  <c r="G12" i="1" s="1"/>
  <c r="D13" i="1"/>
  <c r="D14" i="1"/>
  <c r="C33" i="1" s="1"/>
  <c r="D8" i="1"/>
  <c r="B44" i="1"/>
  <c r="B45" i="1"/>
  <c r="B32" i="1"/>
  <c r="B33" i="1"/>
  <c r="F19" i="1"/>
  <c r="G4" i="4"/>
  <c r="C45" i="1" l="1"/>
  <c r="F33" i="1"/>
  <c r="C32" i="1"/>
  <c r="C25" i="4"/>
  <c r="C24" i="4"/>
  <c r="C9" i="4"/>
  <c r="C10" i="4"/>
  <c r="C11" i="4"/>
  <c r="C12" i="4"/>
  <c r="C8" i="4"/>
  <c r="F4" i="4"/>
  <c r="D4" i="4"/>
  <c r="C4" i="4"/>
  <c r="B4" i="4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I59" i="5"/>
  <c r="J59" i="5" s="1"/>
  <c r="H59" i="5"/>
  <c r="C59" i="5"/>
  <c r="I58" i="5"/>
  <c r="J58" i="5" s="1"/>
  <c r="H58" i="5"/>
  <c r="C58" i="5"/>
  <c r="I57" i="5"/>
  <c r="J57" i="5" s="1"/>
  <c r="H57" i="5"/>
  <c r="C57" i="5"/>
  <c r="I56" i="5"/>
  <c r="J56" i="5" s="1"/>
  <c r="H56" i="5"/>
  <c r="C56" i="5"/>
  <c r="I55" i="5"/>
  <c r="J55" i="5" s="1"/>
  <c r="H55" i="5"/>
  <c r="C55" i="5"/>
  <c r="I54" i="5"/>
  <c r="J54" i="5" s="1"/>
  <c r="H54" i="5"/>
  <c r="C54" i="5"/>
  <c r="I53" i="5"/>
  <c r="J53" i="5" s="1"/>
  <c r="H53" i="5"/>
  <c r="C53" i="5"/>
  <c r="I52" i="5"/>
  <c r="J52" i="5" s="1"/>
  <c r="H52" i="5"/>
  <c r="C52" i="5"/>
  <c r="I51" i="5"/>
  <c r="J51" i="5" s="1"/>
  <c r="H51" i="5"/>
  <c r="C51" i="5"/>
  <c r="G50" i="5"/>
  <c r="H50" i="5" s="1"/>
  <c r="C50" i="5"/>
  <c r="H49" i="5"/>
  <c r="C49" i="5"/>
  <c r="H48" i="5"/>
  <c r="C48" i="5"/>
  <c r="H47" i="5"/>
  <c r="C47" i="5"/>
  <c r="H46" i="5"/>
  <c r="C46" i="5"/>
  <c r="H45" i="5"/>
  <c r="C45" i="5"/>
  <c r="H44" i="5"/>
  <c r="C44" i="5"/>
  <c r="H43" i="5"/>
  <c r="C43" i="5"/>
  <c r="H42" i="5"/>
  <c r="C42" i="5"/>
  <c r="H41" i="5"/>
  <c r="C41" i="5"/>
  <c r="H40" i="5"/>
  <c r="C40" i="5"/>
  <c r="H39" i="5"/>
  <c r="C39" i="5"/>
  <c r="H38" i="5"/>
  <c r="C38" i="5"/>
  <c r="H37" i="5"/>
  <c r="C37" i="5"/>
  <c r="H36" i="5"/>
  <c r="C36" i="5"/>
  <c r="H35" i="5"/>
  <c r="I35" i="5" s="1"/>
  <c r="J35" i="5" s="1"/>
  <c r="C35" i="5"/>
  <c r="H34" i="5"/>
  <c r="I34" i="5" s="1"/>
  <c r="J34" i="5" s="1"/>
  <c r="C34" i="5"/>
  <c r="H33" i="5"/>
  <c r="I33" i="5" s="1"/>
  <c r="J33" i="5" s="1"/>
  <c r="C33" i="5"/>
  <c r="H32" i="5"/>
  <c r="I32" i="5" s="1"/>
  <c r="J32" i="5" s="1"/>
  <c r="C32" i="5"/>
  <c r="H31" i="5"/>
  <c r="I31" i="5" s="1"/>
  <c r="J31" i="5" s="1"/>
  <c r="C31" i="5"/>
  <c r="H30" i="5"/>
  <c r="I30" i="5" s="1"/>
  <c r="J30" i="5" s="1"/>
  <c r="C30" i="5"/>
  <c r="I29" i="5"/>
  <c r="J29" i="5" s="1"/>
  <c r="H29" i="5"/>
  <c r="C29" i="5"/>
  <c r="I28" i="5"/>
  <c r="J28" i="5" s="1"/>
  <c r="H28" i="5"/>
  <c r="C28" i="5"/>
  <c r="I27" i="5"/>
  <c r="J27" i="5" s="1"/>
  <c r="H27" i="5"/>
  <c r="C27" i="5"/>
  <c r="I26" i="5"/>
  <c r="J26" i="5" s="1"/>
  <c r="H26" i="5"/>
  <c r="C26" i="5"/>
  <c r="I25" i="5"/>
  <c r="J25" i="5" s="1"/>
  <c r="H25" i="5"/>
  <c r="C25" i="5"/>
  <c r="I24" i="5"/>
  <c r="J24" i="5" s="1"/>
  <c r="H24" i="5"/>
  <c r="C24" i="5"/>
  <c r="I23" i="5"/>
  <c r="J23" i="5" s="1"/>
  <c r="H23" i="5"/>
  <c r="C23" i="5"/>
  <c r="I22" i="5"/>
  <c r="J22" i="5" s="1"/>
  <c r="H22" i="5"/>
  <c r="C22" i="5"/>
  <c r="I21" i="5"/>
  <c r="J21" i="5" s="1"/>
  <c r="H21" i="5"/>
  <c r="C21" i="5"/>
  <c r="I20" i="5"/>
  <c r="J20" i="5" s="1"/>
  <c r="H20" i="5"/>
  <c r="C20" i="5"/>
  <c r="I19" i="5"/>
  <c r="J19" i="5" s="1"/>
  <c r="H19" i="5"/>
  <c r="C19" i="5"/>
  <c r="I18" i="5"/>
  <c r="H18" i="5"/>
  <c r="C18" i="5"/>
  <c r="I17" i="5"/>
  <c r="H17" i="5"/>
  <c r="C17" i="5"/>
  <c r="I16" i="5"/>
  <c r="H16" i="5"/>
  <c r="C16" i="5"/>
  <c r="I15" i="5"/>
  <c r="H15" i="5"/>
  <c r="C15" i="5"/>
  <c r="I14" i="5"/>
  <c r="H14" i="5"/>
  <c r="C14" i="5"/>
  <c r="I13" i="5"/>
  <c r="H13" i="5"/>
  <c r="C13" i="5"/>
  <c r="I12" i="5"/>
  <c r="H12" i="5"/>
  <c r="C12" i="5"/>
  <c r="I11" i="5"/>
  <c r="H11" i="5"/>
  <c r="C11" i="5"/>
  <c r="I10" i="5"/>
  <c r="H10" i="5"/>
  <c r="C10" i="5"/>
  <c r="I9" i="5"/>
  <c r="H9" i="5"/>
  <c r="C9" i="5"/>
  <c r="I8" i="5"/>
  <c r="H8" i="5"/>
  <c r="C8" i="5"/>
  <c r="I7" i="5"/>
  <c r="H7" i="5"/>
  <c r="C7" i="5"/>
  <c r="I6" i="5"/>
  <c r="H6" i="5"/>
  <c r="C6" i="5"/>
  <c r="H5" i="5"/>
  <c r="C5" i="5"/>
  <c r="I4" i="5"/>
  <c r="J4" i="5" s="1"/>
  <c r="H4" i="5"/>
  <c r="C4" i="5"/>
  <c r="H3" i="5"/>
  <c r="I3" i="5" s="1"/>
  <c r="J3" i="5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E3" i="5"/>
  <c r="E4" i="5" s="1"/>
  <c r="E5" i="5" s="1"/>
  <c r="E6" i="5" s="1"/>
  <c r="C3" i="5"/>
  <c r="AF1" i="5"/>
  <c r="AA1" i="5"/>
  <c r="V1" i="5"/>
  <c r="Q1" i="5"/>
  <c r="L1" i="5"/>
  <c r="E25" i="4" l="1"/>
  <c r="E45" i="1"/>
  <c r="C44" i="1"/>
  <c r="F32" i="1"/>
  <c r="K3" i="5"/>
  <c r="J15" i="5"/>
  <c r="J13" i="5"/>
  <c r="K4" i="5"/>
  <c r="J6" i="5"/>
  <c r="K6" i="5" s="1"/>
  <c r="J14" i="5"/>
  <c r="J17" i="5"/>
  <c r="J12" i="5"/>
  <c r="J18" i="5"/>
  <c r="J16" i="5"/>
  <c r="E7" i="5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I5" i="5"/>
  <c r="J5" i="5" s="1"/>
  <c r="K5" i="5" s="1"/>
  <c r="J9" i="5"/>
  <c r="J11" i="5"/>
  <c r="J7" i="5"/>
  <c r="J8" i="5"/>
  <c r="J10" i="5"/>
  <c r="I36" i="5"/>
  <c r="J36" i="5" s="1"/>
  <c r="I40" i="5"/>
  <c r="J40" i="5" s="1"/>
  <c r="I44" i="5"/>
  <c r="J44" i="5" s="1"/>
  <c r="I48" i="5"/>
  <c r="J48" i="5" s="1"/>
  <c r="I37" i="5"/>
  <c r="J37" i="5" s="1"/>
  <c r="I41" i="5"/>
  <c r="J41" i="5" s="1"/>
  <c r="I45" i="5"/>
  <c r="J45" i="5" s="1"/>
  <c r="I49" i="5"/>
  <c r="J49" i="5" s="1"/>
  <c r="I39" i="5"/>
  <c r="J39" i="5" s="1"/>
  <c r="I43" i="5"/>
  <c r="J43" i="5" s="1"/>
  <c r="I47" i="5"/>
  <c r="J47" i="5" s="1"/>
  <c r="I38" i="5"/>
  <c r="J38" i="5" s="1"/>
  <c r="I42" i="5"/>
  <c r="J42" i="5" s="1"/>
  <c r="I46" i="5"/>
  <c r="J46" i="5" s="1"/>
  <c r="I50" i="5"/>
  <c r="J50" i="5" s="1"/>
  <c r="D18" i="4"/>
  <c r="C18" i="4"/>
  <c r="B20" i="4"/>
  <c r="B21" i="4"/>
  <c r="B22" i="4"/>
  <c r="B23" i="4"/>
  <c r="B19" i="4"/>
  <c r="K9" i="5" l="1"/>
  <c r="AP9" i="5" s="1"/>
  <c r="E24" i="4"/>
  <c r="E44" i="1"/>
  <c r="AK4" i="5"/>
  <c r="H24" i="4" s="1"/>
  <c r="AP4" i="5"/>
  <c r="K13" i="5"/>
  <c r="K24" i="5"/>
  <c r="AK3" i="5"/>
  <c r="AP3" i="5"/>
  <c r="AK6" i="5"/>
  <c r="AP6" i="5"/>
  <c r="AP5" i="5"/>
  <c r="AK5" i="5"/>
  <c r="K17" i="5"/>
  <c r="K11" i="5"/>
  <c r="K14" i="5"/>
  <c r="K7" i="5"/>
  <c r="K12" i="5"/>
  <c r="K25" i="5"/>
  <c r="K21" i="5"/>
  <c r="K32" i="5"/>
  <c r="K10" i="5"/>
  <c r="K26" i="5"/>
  <c r="K18" i="5"/>
  <c r="Q3" i="5"/>
  <c r="AA3" i="5"/>
  <c r="AF3" i="5"/>
  <c r="K43" i="5"/>
  <c r="K8" i="5"/>
  <c r="K22" i="5"/>
  <c r="K40" i="5"/>
  <c r="K19" i="5"/>
  <c r="K39" i="5"/>
  <c r="K50" i="5"/>
  <c r="K37" i="5"/>
  <c r="K46" i="5"/>
  <c r="K33" i="5"/>
  <c r="K36" i="5"/>
  <c r="K35" i="5"/>
  <c r="K42" i="5"/>
  <c r="K29" i="5"/>
  <c r="K34" i="5"/>
  <c r="K31" i="5"/>
  <c r="K38" i="5"/>
  <c r="K28" i="5"/>
  <c r="K30" i="5"/>
  <c r="K47" i="5"/>
  <c r="K27" i="5"/>
  <c r="K23" i="5"/>
  <c r="K20" i="5"/>
  <c r="K15" i="5"/>
  <c r="K16" i="5"/>
  <c r="K49" i="5"/>
  <c r="K48" i="5"/>
  <c r="K45" i="5"/>
  <c r="K44" i="5"/>
  <c r="K41" i="5"/>
  <c r="K51" i="5"/>
  <c r="E52" i="5"/>
  <c r="AK9" i="5" l="1"/>
  <c r="AK16" i="5"/>
  <c r="AP16" i="5"/>
  <c r="AP14" i="5"/>
  <c r="AK14" i="5"/>
  <c r="AP28" i="5"/>
  <c r="AK28" i="5"/>
  <c r="AP33" i="5"/>
  <c r="AK33" i="5"/>
  <c r="AP20" i="5"/>
  <c r="AK20" i="5"/>
  <c r="AP21" i="5"/>
  <c r="AK21" i="5"/>
  <c r="AK17" i="5"/>
  <c r="AP17" i="5"/>
  <c r="AK26" i="5"/>
  <c r="AP26" i="5"/>
  <c r="AK38" i="5"/>
  <c r="AP38" i="5"/>
  <c r="AP37" i="5"/>
  <c r="AK37" i="5"/>
  <c r="AK41" i="5"/>
  <c r="AP41" i="5"/>
  <c r="AK25" i="5"/>
  <c r="AP25" i="5"/>
  <c r="AK24" i="5"/>
  <c r="AP24" i="5"/>
  <c r="AP43" i="5"/>
  <c r="AK43" i="5"/>
  <c r="AK31" i="5"/>
  <c r="AP31" i="5"/>
  <c r="AK32" i="5"/>
  <c r="AP32" i="5"/>
  <c r="AP51" i="5"/>
  <c r="AK51" i="5"/>
  <c r="AK50" i="5"/>
  <c r="AP50" i="5"/>
  <c r="AP29" i="5"/>
  <c r="AK29" i="5"/>
  <c r="AP44" i="5"/>
  <c r="AK44" i="5"/>
  <c r="AP27" i="5"/>
  <c r="AK27" i="5"/>
  <c r="AP42" i="5"/>
  <c r="AK42" i="5"/>
  <c r="AP19" i="5"/>
  <c r="AK19" i="5"/>
  <c r="AP12" i="5"/>
  <c r="AK12" i="5"/>
  <c r="AK13" i="5"/>
  <c r="AP13" i="5"/>
  <c r="AP46" i="5"/>
  <c r="AK46" i="5"/>
  <c r="AP11" i="5"/>
  <c r="AK11" i="5"/>
  <c r="AK34" i="5"/>
  <c r="AP34" i="5"/>
  <c r="AK23" i="5"/>
  <c r="AP23" i="5"/>
  <c r="AK39" i="5"/>
  <c r="AP39" i="5"/>
  <c r="AK47" i="5"/>
  <c r="AP47" i="5"/>
  <c r="AP35" i="5"/>
  <c r="AK35" i="5"/>
  <c r="AK40" i="5"/>
  <c r="AP40" i="5"/>
  <c r="AK7" i="5"/>
  <c r="AP7" i="5"/>
  <c r="H25" i="4"/>
  <c r="AK8" i="5"/>
  <c r="AP8" i="5"/>
  <c r="AP10" i="5"/>
  <c r="AK10" i="5"/>
  <c r="AK15" i="5"/>
  <c r="AP15" i="5"/>
  <c r="AK45" i="5"/>
  <c r="AP45" i="5"/>
  <c r="AK48" i="5"/>
  <c r="AP48" i="5"/>
  <c r="AP30" i="5"/>
  <c r="AK30" i="5"/>
  <c r="AP36" i="5"/>
  <c r="AK36" i="5"/>
  <c r="AP22" i="5"/>
  <c r="AK22" i="5"/>
  <c r="AK18" i="5"/>
  <c r="AP18" i="5"/>
  <c r="AP49" i="5"/>
  <c r="AK49" i="5"/>
  <c r="K52" i="5"/>
  <c r="E53" i="5"/>
  <c r="B42" i="1"/>
  <c r="B43" i="1"/>
  <c r="B30" i="1"/>
  <c r="B31" i="1"/>
  <c r="AF51" i="5"/>
  <c r="AP52" i="5" l="1"/>
  <c r="AK52" i="5"/>
  <c r="AF49" i="5"/>
  <c r="AF44" i="5"/>
  <c r="AF48" i="5"/>
  <c r="AA16" i="5"/>
  <c r="AA47" i="5"/>
  <c r="AA11" i="5"/>
  <c r="AA48" i="5"/>
  <c r="AA43" i="5"/>
  <c r="AA31" i="5"/>
  <c r="AA18" i="5"/>
  <c r="AA19" i="5"/>
  <c r="AA29" i="5"/>
  <c r="AA40" i="5"/>
  <c r="AA15" i="5"/>
  <c r="AA12" i="5"/>
  <c r="AA27" i="5"/>
  <c r="AA30" i="5"/>
  <c r="AA14" i="5"/>
  <c r="AA50" i="5"/>
  <c r="AA24" i="5"/>
  <c r="AA5" i="5"/>
  <c r="AA36" i="5"/>
  <c r="AA33" i="5"/>
  <c r="AA4" i="5"/>
  <c r="AA34" i="5"/>
  <c r="AA46" i="5"/>
  <c r="AA39" i="5"/>
  <c r="AA10" i="5"/>
  <c r="AA37" i="5"/>
  <c r="AA26" i="5"/>
  <c r="AA35" i="5"/>
  <c r="AA28" i="5"/>
  <c r="AA17" i="5"/>
  <c r="AA6" i="5"/>
  <c r="AA38" i="5"/>
  <c r="AA9" i="5"/>
  <c r="AA20" i="5"/>
  <c r="AA32" i="5"/>
  <c r="AA8" i="5"/>
  <c r="AA13" i="5"/>
  <c r="AA23" i="5"/>
  <c r="AA25" i="5"/>
  <c r="AA7" i="5"/>
  <c r="AA42" i="5"/>
  <c r="AA21" i="5"/>
  <c r="AA22" i="5"/>
  <c r="AA44" i="5"/>
  <c r="AA45" i="5"/>
  <c r="AA51" i="5"/>
  <c r="AA41" i="5"/>
  <c r="AF42" i="5"/>
  <c r="AF23" i="5"/>
  <c r="AF25" i="5"/>
  <c r="AF7" i="5"/>
  <c r="AF38" i="5"/>
  <c r="AF8" i="5"/>
  <c r="AF16" i="5"/>
  <c r="AF47" i="5"/>
  <c r="AF11" i="5"/>
  <c r="AF26" i="5"/>
  <c r="AF29" i="5"/>
  <c r="AF4" i="5"/>
  <c r="AF5" i="5"/>
  <c r="AF36" i="5"/>
  <c r="AF43" i="5"/>
  <c r="AF46" i="5"/>
  <c r="AF18" i="5"/>
  <c r="AF12" i="5"/>
  <c r="AF19" i="5"/>
  <c r="AF37" i="5"/>
  <c r="AF40" i="5"/>
  <c r="AF15" i="5"/>
  <c r="AF20" i="5"/>
  <c r="AF50" i="5"/>
  <c r="AF31" i="5"/>
  <c r="AF21" i="5"/>
  <c r="AF6" i="5"/>
  <c r="AF28" i="5"/>
  <c r="AF17" i="5"/>
  <c r="AF22" i="5"/>
  <c r="AF34" i="5"/>
  <c r="AF30" i="5"/>
  <c r="AF24" i="5"/>
  <c r="AF14" i="5"/>
  <c r="AF13" i="5"/>
  <c r="AF35" i="5"/>
  <c r="AF39" i="5"/>
  <c r="AF9" i="5"/>
  <c r="AF32" i="5"/>
  <c r="AF10" i="5"/>
  <c r="AF33" i="5"/>
  <c r="AF27" i="5"/>
  <c r="AF41" i="5"/>
  <c r="AA49" i="5"/>
  <c r="AF45" i="5"/>
  <c r="AF52" i="5"/>
  <c r="AA52" i="5"/>
  <c r="K53" i="5"/>
  <c r="E54" i="5"/>
  <c r="E31" i="1"/>
  <c r="D23" i="4" s="1"/>
  <c r="E30" i="1"/>
  <c r="D22" i="4" s="1"/>
  <c r="C31" i="1"/>
  <c r="C43" i="1" s="1"/>
  <c r="E23" i="4" s="1"/>
  <c r="C30" i="1"/>
  <c r="C42" i="1" s="1"/>
  <c r="E22" i="4" s="1"/>
  <c r="AP53" i="5" l="1"/>
  <c r="AK53" i="5"/>
  <c r="H23" i="4"/>
  <c r="H22" i="4"/>
  <c r="AF53" i="5"/>
  <c r="AA53" i="5"/>
  <c r="K54" i="5"/>
  <c r="E55" i="5"/>
  <c r="E42" i="1"/>
  <c r="F30" i="1"/>
  <c r="E43" i="1"/>
  <c r="F31" i="1"/>
  <c r="H8" i="1"/>
  <c r="B40" i="1"/>
  <c r="B41" i="1"/>
  <c r="B39" i="1"/>
  <c r="C22" i="1"/>
  <c r="B29" i="1"/>
  <c r="B28" i="1"/>
  <c r="B27" i="1"/>
  <c r="H10" i="1"/>
  <c r="AQ11" i="5" l="1"/>
  <c r="AR11" i="5" s="1"/>
  <c r="AQ19" i="5"/>
  <c r="AR19" i="5" s="1"/>
  <c r="AQ27" i="5"/>
  <c r="AR27" i="5" s="1"/>
  <c r="AQ35" i="5"/>
  <c r="AR35" i="5" s="1"/>
  <c r="AQ43" i="5"/>
  <c r="AR43" i="5" s="1"/>
  <c r="AQ51" i="5"/>
  <c r="AR51" i="5" s="1"/>
  <c r="AQ59" i="5"/>
  <c r="AL12" i="5"/>
  <c r="AM12" i="5" s="1"/>
  <c r="AL20" i="5"/>
  <c r="AM20" i="5" s="1"/>
  <c r="AL28" i="5"/>
  <c r="AM28" i="5" s="1"/>
  <c r="AL36" i="5"/>
  <c r="AM36" i="5" s="1"/>
  <c r="AL44" i="5"/>
  <c r="AM44" i="5" s="1"/>
  <c r="AL52" i="5"/>
  <c r="AM52" i="5" s="1"/>
  <c r="AQ4" i="5"/>
  <c r="AR4" i="5" s="1"/>
  <c r="AL4" i="5"/>
  <c r="AQ12" i="5"/>
  <c r="AR12" i="5" s="1"/>
  <c r="AQ20" i="5"/>
  <c r="AR20" i="5" s="1"/>
  <c r="AQ28" i="5"/>
  <c r="AR28" i="5" s="1"/>
  <c r="AQ36" i="5"/>
  <c r="AR36" i="5" s="1"/>
  <c r="AQ44" i="5"/>
  <c r="AR44" i="5" s="1"/>
  <c r="AQ52" i="5"/>
  <c r="AR52" i="5" s="1"/>
  <c r="AL5" i="5"/>
  <c r="AM5" i="5" s="1"/>
  <c r="AL13" i="5"/>
  <c r="AM13" i="5" s="1"/>
  <c r="AL21" i="5"/>
  <c r="AM21" i="5" s="1"/>
  <c r="AL29" i="5"/>
  <c r="AM29" i="5" s="1"/>
  <c r="AL37" i="5"/>
  <c r="AM37" i="5" s="1"/>
  <c r="AL45" i="5"/>
  <c r="AM45" i="5" s="1"/>
  <c r="AL53" i="5"/>
  <c r="AM53" i="5" s="1"/>
  <c r="AQ3" i="5"/>
  <c r="AR3" i="5" s="1"/>
  <c r="AS3" i="5" s="1"/>
  <c r="AT3" i="5" s="1"/>
  <c r="AL3" i="5"/>
  <c r="AM3" i="5" s="1"/>
  <c r="AG3" i="5"/>
  <c r="AH3" i="5" s="1"/>
  <c r="AQ5" i="5"/>
  <c r="AR5" i="5" s="1"/>
  <c r="AQ13" i="5"/>
  <c r="AR13" i="5" s="1"/>
  <c r="AQ21" i="5"/>
  <c r="AR21" i="5" s="1"/>
  <c r="AQ29" i="5"/>
  <c r="AR29" i="5" s="1"/>
  <c r="AQ37" i="5"/>
  <c r="AR37" i="5" s="1"/>
  <c r="AQ45" i="5"/>
  <c r="AR45" i="5" s="1"/>
  <c r="AQ53" i="5"/>
  <c r="AR53" i="5" s="1"/>
  <c r="AL6" i="5"/>
  <c r="AM6" i="5" s="1"/>
  <c r="AL14" i="5"/>
  <c r="AM14" i="5" s="1"/>
  <c r="AL22" i="5"/>
  <c r="AM22" i="5" s="1"/>
  <c r="AL30" i="5"/>
  <c r="AM30" i="5" s="1"/>
  <c r="AL38" i="5"/>
  <c r="AM38" i="5" s="1"/>
  <c r="AL46" i="5"/>
  <c r="AM46" i="5" s="1"/>
  <c r="AL54" i="5"/>
  <c r="AB3" i="5"/>
  <c r="AC3" i="5" s="1"/>
  <c r="AQ6" i="5"/>
  <c r="AR6" i="5" s="1"/>
  <c r="AQ14" i="5"/>
  <c r="AR14" i="5" s="1"/>
  <c r="AQ22" i="5"/>
  <c r="AR22" i="5" s="1"/>
  <c r="AQ30" i="5"/>
  <c r="AR30" i="5" s="1"/>
  <c r="AQ38" i="5"/>
  <c r="AR38" i="5" s="1"/>
  <c r="AQ46" i="5"/>
  <c r="AR46" i="5" s="1"/>
  <c r="AQ54" i="5"/>
  <c r="AL7" i="5"/>
  <c r="AM7" i="5" s="1"/>
  <c r="AL15" i="5"/>
  <c r="AM15" i="5" s="1"/>
  <c r="AL23" i="5"/>
  <c r="AM23" i="5" s="1"/>
  <c r="AL31" i="5"/>
  <c r="AM31" i="5" s="1"/>
  <c r="AL39" i="5"/>
  <c r="AM39" i="5" s="1"/>
  <c r="AL47" i="5"/>
  <c r="AM47" i="5" s="1"/>
  <c r="AL55" i="5"/>
  <c r="W3" i="5"/>
  <c r="D32" i="1"/>
  <c r="D44" i="1" s="1"/>
  <c r="F44" i="1" s="1"/>
  <c r="AQ7" i="5"/>
  <c r="AR7" i="5" s="1"/>
  <c r="AQ15" i="5"/>
  <c r="AR15" i="5" s="1"/>
  <c r="AQ23" i="5"/>
  <c r="AR23" i="5" s="1"/>
  <c r="AQ31" i="5"/>
  <c r="AR31" i="5" s="1"/>
  <c r="AQ39" i="5"/>
  <c r="AR39" i="5" s="1"/>
  <c r="AQ47" i="5"/>
  <c r="AR47" i="5" s="1"/>
  <c r="AQ55" i="5"/>
  <c r="AL8" i="5"/>
  <c r="AM8" i="5" s="1"/>
  <c r="AL16" i="5"/>
  <c r="AM16" i="5" s="1"/>
  <c r="AL24" i="5"/>
  <c r="AM24" i="5" s="1"/>
  <c r="AL32" i="5"/>
  <c r="AM32" i="5" s="1"/>
  <c r="AL40" i="5"/>
  <c r="AM40" i="5" s="1"/>
  <c r="AL48" i="5"/>
  <c r="AM48" i="5" s="1"/>
  <c r="AL56" i="5"/>
  <c r="R3" i="5"/>
  <c r="S3" i="5" s="1"/>
  <c r="D33" i="1"/>
  <c r="D45" i="1" s="1"/>
  <c r="F45" i="1" s="1"/>
  <c r="AQ10" i="5"/>
  <c r="AR10" i="5" s="1"/>
  <c r="AQ26" i="5"/>
  <c r="AR26" i="5" s="1"/>
  <c r="AQ50" i="5"/>
  <c r="AR50" i="5" s="1"/>
  <c r="AL11" i="5"/>
  <c r="AM11" i="5" s="1"/>
  <c r="AL35" i="5"/>
  <c r="AM35" i="5" s="1"/>
  <c r="AQ8" i="5"/>
  <c r="AR8" i="5" s="1"/>
  <c r="AQ16" i="5"/>
  <c r="AR16" i="5" s="1"/>
  <c r="AQ24" i="5"/>
  <c r="AR24" i="5" s="1"/>
  <c r="AQ32" i="5"/>
  <c r="AR32" i="5" s="1"/>
  <c r="AQ40" i="5"/>
  <c r="AR40" i="5" s="1"/>
  <c r="AQ48" i="5"/>
  <c r="AR48" i="5" s="1"/>
  <c r="AQ56" i="5"/>
  <c r="AL9" i="5"/>
  <c r="AM9" i="5" s="1"/>
  <c r="AL17" i="5"/>
  <c r="AM17" i="5" s="1"/>
  <c r="AL25" i="5"/>
  <c r="AM25" i="5" s="1"/>
  <c r="AL33" i="5"/>
  <c r="AM33" i="5" s="1"/>
  <c r="AL41" i="5"/>
  <c r="AM41" i="5" s="1"/>
  <c r="AL49" i="5"/>
  <c r="AM49" i="5" s="1"/>
  <c r="AL57" i="5"/>
  <c r="M3" i="5"/>
  <c r="AQ18" i="5"/>
  <c r="AR18" i="5" s="1"/>
  <c r="AQ42" i="5"/>
  <c r="AR42" i="5" s="1"/>
  <c r="AL19" i="5"/>
  <c r="AM19" i="5" s="1"/>
  <c r="AL43" i="5"/>
  <c r="AM43" i="5" s="1"/>
  <c r="AL59" i="5"/>
  <c r="AQ9" i="5"/>
  <c r="AR9" i="5" s="1"/>
  <c r="AQ17" i="5"/>
  <c r="AR17" i="5" s="1"/>
  <c r="AQ25" i="5"/>
  <c r="AR25" i="5" s="1"/>
  <c r="AQ33" i="5"/>
  <c r="AR33" i="5" s="1"/>
  <c r="AQ41" i="5"/>
  <c r="AR41" i="5" s="1"/>
  <c r="AQ49" i="5"/>
  <c r="AR49" i="5" s="1"/>
  <c r="AQ57" i="5"/>
  <c r="AL10" i="5"/>
  <c r="AM10" i="5" s="1"/>
  <c r="AL18" i="5"/>
  <c r="AM18" i="5" s="1"/>
  <c r="AL26" i="5"/>
  <c r="AM26" i="5" s="1"/>
  <c r="AL34" i="5"/>
  <c r="AM34" i="5" s="1"/>
  <c r="AL42" i="5"/>
  <c r="AM42" i="5" s="1"/>
  <c r="AL50" i="5"/>
  <c r="AM50" i="5" s="1"/>
  <c r="AL58" i="5"/>
  <c r="AQ34" i="5"/>
  <c r="AR34" i="5" s="1"/>
  <c r="AQ58" i="5"/>
  <c r="AL27" i="5"/>
  <c r="AM27" i="5" s="1"/>
  <c r="AL51" i="5"/>
  <c r="AM51" i="5" s="1"/>
  <c r="V53" i="5"/>
  <c r="C21" i="4"/>
  <c r="V3" i="5"/>
  <c r="C27" i="1"/>
  <c r="C19" i="4"/>
  <c r="L3" i="5"/>
  <c r="AP54" i="5"/>
  <c r="AK54" i="5"/>
  <c r="L53" i="5"/>
  <c r="C39" i="1"/>
  <c r="AG10" i="5"/>
  <c r="AH10" i="5" s="1"/>
  <c r="AG18" i="5"/>
  <c r="AH18" i="5" s="1"/>
  <c r="AG26" i="5"/>
  <c r="AH26" i="5" s="1"/>
  <c r="AG34" i="5"/>
  <c r="AH34" i="5" s="1"/>
  <c r="AG42" i="5"/>
  <c r="AH42" i="5" s="1"/>
  <c r="AG50" i="5"/>
  <c r="AH50" i="5" s="1"/>
  <c r="AG58" i="5"/>
  <c r="AB5" i="5"/>
  <c r="AC5" i="5" s="1"/>
  <c r="AB13" i="5"/>
  <c r="AC13" i="5" s="1"/>
  <c r="AB21" i="5"/>
  <c r="AC21" i="5" s="1"/>
  <c r="AB29" i="5"/>
  <c r="AC29" i="5" s="1"/>
  <c r="AB37" i="5"/>
  <c r="AC37" i="5" s="1"/>
  <c r="AB45" i="5"/>
  <c r="AC45" i="5" s="1"/>
  <c r="AB53" i="5"/>
  <c r="AC53" i="5" s="1"/>
  <c r="W7" i="5"/>
  <c r="W15" i="5"/>
  <c r="W23" i="5"/>
  <c r="W31" i="5"/>
  <c r="W39" i="5"/>
  <c r="W47" i="5"/>
  <c r="W55" i="5"/>
  <c r="M11" i="5"/>
  <c r="M19" i="5"/>
  <c r="M27" i="5"/>
  <c r="M35" i="5"/>
  <c r="M43" i="5"/>
  <c r="M51" i="5"/>
  <c r="M59" i="5"/>
  <c r="M13" i="5"/>
  <c r="M37" i="5"/>
  <c r="M53" i="5"/>
  <c r="C13" i="4"/>
  <c r="AG11" i="5"/>
  <c r="AH11" i="5" s="1"/>
  <c r="AG19" i="5"/>
  <c r="AH19" i="5" s="1"/>
  <c r="AG27" i="5"/>
  <c r="AH27" i="5" s="1"/>
  <c r="AG35" i="5"/>
  <c r="AH35" i="5" s="1"/>
  <c r="AG43" i="5"/>
  <c r="AH43" i="5" s="1"/>
  <c r="AG51" i="5"/>
  <c r="AH51" i="5" s="1"/>
  <c r="AG59" i="5"/>
  <c r="AB6" i="5"/>
  <c r="AC6" i="5" s="1"/>
  <c r="AB14" i="5"/>
  <c r="AC14" i="5" s="1"/>
  <c r="AB22" i="5"/>
  <c r="AC22" i="5" s="1"/>
  <c r="AB30" i="5"/>
  <c r="AC30" i="5" s="1"/>
  <c r="AB38" i="5"/>
  <c r="AC38" i="5" s="1"/>
  <c r="AB46" i="5"/>
  <c r="AC46" i="5" s="1"/>
  <c r="AB54" i="5"/>
  <c r="W8" i="5"/>
  <c r="W16" i="5"/>
  <c r="W24" i="5"/>
  <c r="W32" i="5"/>
  <c r="W40" i="5"/>
  <c r="W48" i="5"/>
  <c r="W56" i="5"/>
  <c r="M4" i="5"/>
  <c r="M12" i="5"/>
  <c r="M20" i="5"/>
  <c r="M28" i="5"/>
  <c r="M36" i="5"/>
  <c r="M44" i="5"/>
  <c r="M52" i="5"/>
  <c r="AB55" i="5"/>
  <c r="W9" i="5"/>
  <c r="W17" i="5"/>
  <c r="W25" i="5"/>
  <c r="W33" i="5"/>
  <c r="W41" i="5"/>
  <c r="W49" i="5"/>
  <c r="W57" i="5"/>
  <c r="R59" i="5"/>
  <c r="M5" i="5"/>
  <c r="M21" i="5"/>
  <c r="M29" i="5"/>
  <c r="M45" i="5"/>
  <c r="AB4" i="5"/>
  <c r="AC4" i="5" s="1"/>
  <c r="AB44" i="5"/>
  <c r="AC44" i="5" s="1"/>
  <c r="W14" i="5"/>
  <c r="W46" i="5"/>
  <c r="M10" i="5"/>
  <c r="M34" i="5"/>
  <c r="M58" i="5"/>
  <c r="AG4" i="5"/>
  <c r="AH4" i="5" s="1"/>
  <c r="G23" i="4" s="1"/>
  <c r="AG12" i="5"/>
  <c r="AH12" i="5" s="1"/>
  <c r="AG20" i="5"/>
  <c r="AH20" i="5" s="1"/>
  <c r="AG28" i="5"/>
  <c r="AH28" i="5" s="1"/>
  <c r="AG36" i="5"/>
  <c r="AH36" i="5" s="1"/>
  <c r="AG44" i="5"/>
  <c r="AH44" i="5" s="1"/>
  <c r="AG52" i="5"/>
  <c r="AH52" i="5" s="1"/>
  <c r="AB7" i="5"/>
  <c r="AC7" i="5" s="1"/>
  <c r="AB15" i="5"/>
  <c r="AC15" i="5" s="1"/>
  <c r="AB23" i="5"/>
  <c r="AC23" i="5" s="1"/>
  <c r="AB31" i="5"/>
  <c r="AC31" i="5" s="1"/>
  <c r="AB39" i="5"/>
  <c r="AC39" i="5" s="1"/>
  <c r="AB47" i="5"/>
  <c r="AC47" i="5" s="1"/>
  <c r="AG5" i="5"/>
  <c r="AH5" i="5" s="1"/>
  <c r="AG13" i="5"/>
  <c r="AH13" i="5" s="1"/>
  <c r="AG21" i="5"/>
  <c r="AH21" i="5" s="1"/>
  <c r="AG29" i="5"/>
  <c r="AH29" i="5" s="1"/>
  <c r="AG37" i="5"/>
  <c r="AH37" i="5" s="1"/>
  <c r="AG45" i="5"/>
  <c r="AH45" i="5" s="1"/>
  <c r="AG53" i="5"/>
  <c r="AH53" i="5" s="1"/>
  <c r="AB8" i="5"/>
  <c r="AC8" i="5" s="1"/>
  <c r="AB16" i="5"/>
  <c r="AC16" i="5" s="1"/>
  <c r="AB24" i="5"/>
  <c r="AC24" i="5" s="1"/>
  <c r="AB32" i="5"/>
  <c r="AC32" i="5" s="1"/>
  <c r="AB40" i="5"/>
  <c r="AC40" i="5" s="1"/>
  <c r="AB48" i="5"/>
  <c r="AC48" i="5" s="1"/>
  <c r="AB56" i="5"/>
  <c r="W10" i="5"/>
  <c r="W18" i="5"/>
  <c r="W26" i="5"/>
  <c r="W34" i="5"/>
  <c r="W42" i="5"/>
  <c r="W50" i="5"/>
  <c r="W58" i="5"/>
  <c r="R4" i="5"/>
  <c r="M6" i="5"/>
  <c r="M14" i="5"/>
  <c r="M22" i="5"/>
  <c r="M30" i="5"/>
  <c r="M38" i="5"/>
  <c r="M46" i="5"/>
  <c r="M54" i="5"/>
  <c r="W29" i="5"/>
  <c r="M17" i="5"/>
  <c r="M41" i="5"/>
  <c r="AG25" i="5"/>
  <c r="AH25" i="5" s="1"/>
  <c r="AG57" i="5"/>
  <c r="AB28" i="5"/>
  <c r="AC28" i="5" s="1"/>
  <c r="W30" i="5"/>
  <c r="M18" i="5"/>
  <c r="M50" i="5"/>
  <c r="AG6" i="5"/>
  <c r="AH6" i="5" s="1"/>
  <c r="AG14" i="5"/>
  <c r="AH14" i="5" s="1"/>
  <c r="AG22" i="5"/>
  <c r="AH22" i="5" s="1"/>
  <c r="AG30" i="5"/>
  <c r="AH30" i="5" s="1"/>
  <c r="AG38" i="5"/>
  <c r="AH38" i="5" s="1"/>
  <c r="AG46" i="5"/>
  <c r="AH46" i="5" s="1"/>
  <c r="AG54" i="5"/>
  <c r="AB9" i="5"/>
  <c r="AC9" i="5" s="1"/>
  <c r="AB17" i="5"/>
  <c r="AC17" i="5" s="1"/>
  <c r="AB25" i="5"/>
  <c r="AC25" i="5" s="1"/>
  <c r="AB33" i="5"/>
  <c r="AC33" i="5" s="1"/>
  <c r="AB41" i="5"/>
  <c r="AC41" i="5" s="1"/>
  <c r="AB49" i="5"/>
  <c r="AC49" i="5" s="1"/>
  <c r="AB57" i="5"/>
  <c r="W11" i="5"/>
  <c r="W19" i="5"/>
  <c r="W27" i="5"/>
  <c r="W35" i="5"/>
  <c r="W43" i="5"/>
  <c r="W51" i="5"/>
  <c r="W59" i="5"/>
  <c r="M7" i="5"/>
  <c r="M15" i="5"/>
  <c r="M23" i="5"/>
  <c r="M31" i="5"/>
  <c r="M39" i="5"/>
  <c r="M47" i="5"/>
  <c r="M55" i="5"/>
  <c r="AB11" i="5"/>
  <c r="AC11" i="5" s="1"/>
  <c r="AB35" i="5"/>
  <c r="AC35" i="5" s="1"/>
  <c r="AB59" i="5"/>
  <c r="W21" i="5"/>
  <c r="W45" i="5"/>
  <c r="M49" i="5"/>
  <c r="AG17" i="5"/>
  <c r="AH17" i="5" s="1"/>
  <c r="AG49" i="5"/>
  <c r="AH49" i="5" s="1"/>
  <c r="AB20" i="5"/>
  <c r="AC20" i="5" s="1"/>
  <c r="AB52" i="5"/>
  <c r="AC52" i="5" s="1"/>
  <c r="W22" i="5"/>
  <c r="AG7" i="5"/>
  <c r="AH7" i="5" s="1"/>
  <c r="AG15" i="5"/>
  <c r="AH15" i="5" s="1"/>
  <c r="AG23" i="5"/>
  <c r="AH23" i="5" s="1"/>
  <c r="AG31" i="5"/>
  <c r="AH31" i="5" s="1"/>
  <c r="AG39" i="5"/>
  <c r="AH39" i="5" s="1"/>
  <c r="AG47" i="5"/>
  <c r="AH47" i="5" s="1"/>
  <c r="AG55" i="5"/>
  <c r="AB10" i="5"/>
  <c r="AC10" i="5" s="1"/>
  <c r="AB18" i="5"/>
  <c r="AC18" i="5" s="1"/>
  <c r="AB26" i="5"/>
  <c r="AC26" i="5" s="1"/>
  <c r="AB34" i="5"/>
  <c r="AC34" i="5" s="1"/>
  <c r="AB42" i="5"/>
  <c r="AC42" i="5" s="1"/>
  <c r="AB50" i="5"/>
  <c r="AC50" i="5" s="1"/>
  <c r="AB58" i="5"/>
  <c r="W4" i="5"/>
  <c r="W12" i="5"/>
  <c r="W20" i="5"/>
  <c r="W28" i="5"/>
  <c r="W36" i="5"/>
  <c r="W44" i="5"/>
  <c r="W52" i="5"/>
  <c r="M8" i="5"/>
  <c r="M16" i="5"/>
  <c r="M24" i="5"/>
  <c r="M32" i="5"/>
  <c r="M40" i="5"/>
  <c r="M48" i="5"/>
  <c r="M56" i="5"/>
  <c r="AG8" i="5"/>
  <c r="AH8" i="5" s="1"/>
  <c r="AG16" i="5"/>
  <c r="AH16" i="5" s="1"/>
  <c r="AG24" i="5"/>
  <c r="AH24" i="5" s="1"/>
  <c r="AG32" i="5"/>
  <c r="AH32" i="5" s="1"/>
  <c r="AG40" i="5"/>
  <c r="AH40" i="5" s="1"/>
  <c r="AG48" i="5"/>
  <c r="AH48" i="5" s="1"/>
  <c r="AG56" i="5"/>
  <c r="AB19" i="5"/>
  <c r="AC19" i="5" s="1"/>
  <c r="AB27" i="5"/>
  <c r="AC27" i="5" s="1"/>
  <c r="AB43" i="5"/>
  <c r="AC43" i="5" s="1"/>
  <c r="AB51" i="5"/>
  <c r="AC51" i="5" s="1"/>
  <c r="W5" i="5"/>
  <c r="W13" i="5"/>
  <c r="W37" i="5"/>
  <c r="W53" i="5"/>
  <c r="M9" i="5"/>
  <c r="M25" i="5"/>
  <c r="M33" i="5"/>
  <c r="M57" i="5"/>
  <c r="AG9" i="5"/>
  <c r="AH9" i="5" s="1"/>
  <c r="AG33" i="5"/>
  <c r="AH33" i="5" s="1"/>
  <c r="AG41" i="5"/>
  <c r="AH41" i="5" s="1"/>
  <c r="AB12" i="5"/>
  <c r="AC12" i="5" s="1"/>
  <c r="AB36" i="5"/>
  <c r="AC36" i="5" s="1"/>
  <c r="W6" i="5"/>
  <c r="W38" i="5"/>
  <c r="W54" i="5"/>
  <c r="M26" i="5"/>
  <c r="M42" i="5"/>
  <c r="V49" i="5"/>
  <c r="V50" i="5"/>
  <c r="V30" i="5"/>
  <c r="V24" i="5"/>
  <c r="V5" i="5"/>
  <c r="V34" i="5"/>
  <c r="V23" i="5"/>
  <c r="V22" i="5"/>
  <c r="V21" i="5"/>
  <c r="V46" i="5"/>
  <c r="X46" i="5" s="1"/>
  <c r="V4" i="5"/>
  <c r="V26" i="5"/>
  <c r="V35" i="5"/>
  <c r="V28" i="5"/>
  <c r="V17" i="5"/>
  <c r="V38" i="5"/>
  <c r="V8" i="5"/>
  <c r="V16" i="5"/>
  <c r="X16" i="5" s="1"/>
  <c r="V9" i="5"/>
  <c r="X9" i="5" s="1"/>
  <c r="V47" i="5"/>
  <c r="V20" i="5"/>
  <c r="V7" i="5"/>
  <c r="V12" i="5"/>
  <c r="X12" i="5" s="1"/>
  <c r="V25" i="5"/>
  <c r="V11" i="5"/>
  <c r="V36" i="5"/>
  <c r="X36" i="5" s="1"/>
  <c r="V27" i="5"/>
  <c r="V31" i="5"/>
  <c r="V10" i="5"/>
  <c r="V32" i="5"/>
  <c r="V33" i="5"/>
  <c r="V37" i="5"/>
  <c r="V15" i="5"/>
  <c r="X15" i="5" s="1"/>
  <c r="V42" i="5"/>
  <c r="V48" i="5"/>
  <c r="V6" i="5"/>
  <c r="X6" i="5" s="1"/>
  <c r="V13" i="5"/>
  <c r="V18" i="5"/>
  <c r="V29" i="5"/>
  <c r="V39" i="5"/>
  <c r="X39" i="5" s="1"/>
  <c r="V19" i="5"/>
  <c r="V40" i="5"/>
  <c r="V14" i="5"/>
  <c r="V43" i="5"/>
  <c r="V51" i="5"/>
  <c r="V45" i="5"/>
  <c r="V44" i="5"/>
  <c r="V41" i="5"/>
  <c r="V52" i="5"/>
  <c r="E27" i="1"/>
  <c r="D19" i="4" s="1"/>
  <c r="L39" i="5"/>
  <c r="L43" i="5"/>
  <c r="L18" i="5"/>
  <c r="L14" i="5"/>
  <c r="L19" i="5"/>
  <c r="L29" i="5"/>
  <c r="L40" i="5"/>
  <c r="N40" i="5" s="1"/>
  <c r="L4" i="5"/>
  <c r="L50" i="5"/>
  <c r="L24" i="5"/>
  <c r="L7" i="5"/>
  <c r="L5" i="5"/>
  <c r="L10" i="5"/>
  <c r="L46" i="5"/>
  <c r="L34" i="5"/>
  <c r="L31" i="5"/>
  <c r="L47" i="5"/>
  <c r="N47" i="5" s="1"/>
  <c r="L22" i="5"/>
  <c r="L33" i="5"/>
  <c r="N33" i="5" s="1"/>
  <c r="L48" i="5"/>
  <c r="L26" i="5"/>
  <c r="N26" i="5" s="1"/>
  <c r="L23" i="5"/>
  <c r="N23" i="5" s="1"/>
  <c r="L35" i="5"/>
  <c r="L28" i="5"/>
  <c r="L17" i="5"/>
  <c r="L38" i="5"/>
  <c r="L15" i="5"/>
  <c r="L42" i="5"/>
  <c r="L8" i="5"/>
  <c r="L9" i="5"/>
  <c r="L20" i="5"/>
  <c r="N20" i="5" s="1"/>
  <c r="L12" i="5"/>
  <c r="L36" i="5"/>
  <c r="L27" i="5"/>
  <c r="L30" i="5"/>
  <c r="L32" i="5"/>
  <c r="L37" i="5"/>
  <c r="L21" i="5"/>
  <c r="L25" i="5"/>
  <c r="L11" i="5"/>
  <c r="L13" i="5"/>
  <c r="L16" i="5"/>
  <c r="L6" i="5"/>
  <c r="L51" i="5"/>
  <c r="L45" i="5"/>
  <c r="L44" i="5"/>
  <c r="N44" i="5" s="1"/>
  <c r="L49" i="5"/>
  <c r="L41" i="5"/>
  <c r="N41" i="5" s="1"/>
  <c r="L52" i="5"/>
  <c r="AA54" i="5"/>
  <c r="AF54" i="5"/>
  <c r="Q54" i="5"/>
  <c r="L54" i="5"/>
  <c r="N54" i="5" s="1"/>
  <c r="V54" i="5"/>
  <c r="K55" i="5"/>
  <c r="E56" i="5"/>
  <c r="D28" i="1"/>
  <c r="D40" i="1" s="1"/>
  <c r="D30" i="1"/>
  <c r="D42" i="1" s="1"/>
  <c r="F42" i="1" s="1"/>
  <c r="H42" i="1" s="1"/>
  <c r="D31" i="1"/>
  <c r="D43" i="1" s="1"/>
  <c r="F43" i="1" s="1"/>
  <c r="H43" i="1" s="1"/>
  <c r="D27" i="1"/>
  <c r="D39" i="1" s="1"/>
  <c r="R17" i="5"/>
  <c r="E29" i="1"/>
  <c r="D21" i="4" s="1"/>
  <c r="C29" i="1"/>
  <c r="G9" i="1"/>
  <c r="D29" i="1"/>
  <c r="D41" i="1" s="1"/>
  <c r="G8" i="1"/>
  <c r="E19" i="4" l="1"/>
  <c r="E39" i="1"/>
  <c r="X53" i="5"/>
  <c r="N21" i="5"/>
  <c r="N19" i="5"/>
  <c r="X7" i="5"/>
  <c r="X3" i="5"/>
  <c r="Y3" i="5" s="1"/>
  <c r="Z3" i="5" s="1"/>
  <c r="X41" i="5"/>
  <c r="N43" i="5"/>
  <c r="X31" i="5"/>
  <c r="X32" i="5"/>
  <c r="N36" i="5"/>
  <c r="E21" i="4"/>
  <c r="E41" i="1"/>
  <c r="N12" i="5"/>
  <c r="N49" i="5"/>
  <c r="N25" i="5"/>
  <c r="N35" i="5"/>
  <c r="N34" i="5"/>
  <c r="X52" i="5"/>
  <c r="X11" i="5"/>
  <c r="X8" i="5"/>
  <c r="X17" i="5"/>
  <c r="X34" i="5"/>
  <c r="N30" i="5"/>
  <c r="X19" i="5"/>
  <c r="X21" i="5"/>
  <c r="X49" i="5"/>
  <c r="N51" i="5"/>
  <c r="X40" i="5"/>
  <c r="X25" i="5"/>
  <c r="N29" i="5"/>
  <c r="N27" i="5"/>
  <c r="X42" i="5"/>
  <c r="X54" i="5"/>
  <c r="N46" i="5"/>
  <c r="N45" i="5"/>
  <c r="X33" i="5"/>
  <c r="X23" i="5"/>
  <c r="N7" i="5"/>
  <c r="X51" i="5"/>
  <c r="X24" i="5"/>
  <c r="AM54" i="5"/>
  <c r="N16" i="5"/>
  <c r="X30" i="5"/>
  <c r="N28" i="5"/>
  <c r="X50" i="5"/>
  <c r="AR54" i="5"/>
  <c r="X22" i="5"/>
  <c r="AH54" i="5"/>
  <c r="N5" i="5"/>
  <c r="N37" i="5"/>
  <c r="N10" i="5"/>
  <c r="N6" i="5"/>
  <c r="N15" i="5"/>
  <c r="N18" i="5"/>
  <c r="X13" i="5"/>
  <c r="X20" i="5"/>
  <c r="X5" i="5"/>
  <c r="N9" i="5"/>
  <c r="X44" i="5"/>
  <c r="AC54" i="5"/>
  <c r="N22" i="5"/>
  <c r="N24" i="5"/>
  <c r="X43" i="5"/>
  <c r="X26" i="5"/>
  <c r="N11" i="5"/>
  <c r="N31" i="5"/>
  <c r="N4" i="5"/>
  <c r="X37" i="5"/>
  <c r="X38" i="5"/>
  <c r="F39" i="1"/>
  <c r="H39" i="1" s="1"/>
  <c r="N32" i="5"/>
  <c r="N42" i="5"/>
  <c r="N48" i="5"/>
  <c r="N14" i="5"/>
  <c r="X45" i="5"/>
  <c r="X18" i="5"/>
  <c r="X28" i="5"/>
  <c r="F27" i="1"/>
  <c r="G45" i="1"/>
  <c r="H45" i="1"/>
  <c r="G44" i="1"/>
  <c r="H44" i="1"/>
  <c r="AS4" i="5"/>
  <c r="AT4" i="5" s="1"/>
  <c r="G25" i="4"/>
  <c r="X10" i="5"/>
  <c r="X35" i="5"/>
  <c r="X47" i="5"/>
  <c r="N38" i="5"/>
  <c r="N52" i="5"/>
  <c r="N13" i="5"/>
  <c r="N17" i="5"/>
  <c r="N50" i="5"/>
  <c r="N39" i="5"/>
  <c r="X14" i="5"/>
  <c r="X48" i="5"/>
  <c r="X27" i="5"/>
  <c r="X4" i="5"/>
  <c r="N8" i="5"/>
  <c r="X29" i="5"/>
  <c r="N3" i="5"/>
  <c r="AP55" i="5"/>
  <c r="AR55" i="5" s="1"/>
  <c r="AK55" i="5"/>
  <c r="AM55" i="5" s="1"/>
  <c r="N53" i="5"/>
  <c r="AD3" i="5"/>
  <c r="AE3" i="5" s="1"/>
  <c r="AI3" i="5"/>
  <c r="R5" i="5"/>
  <c r="R52" i="5"/>
  <c r="R16" i="5"/>
  <c r="R33" i="5"/>
  <c r="R51" i="5"/>
  <c r="R23" i="5"/>
  <c r="R54" i="5"/>
  <c r="S54" i="5" s="1"/>
  <c r="R50" i="5"/>
  <c r="R40" i="5"/>
  <c r="R38" i="5"/>
  <c r="R34" i="5"/>
  <c r="R7" i="5"/>
  <c r="R46" i="5"/>
  <c r="R24" i="5"/>
  <c r="R21" i="5"/>
  <c r="R49" i="5"/>
  <c r="R42" i="5"/>
  <c r="F41" i="1"/>
  <c r="R13" i="5"/>
  <c r="R41" i="5"/>
  <c r="R30" i="5"/>
  <c r="R44" i="5"/>
  <c r="R43" i="5"/>
  <c r="R26" i="5"/>
  <c r="R25" i="5"/>
  <c r="H19" i="4"/>
  <c r="G19" i="4"/>
  <c r="R22" i="5"/>
  <c r="R53" i="5"/>
  <c r="R36" i="5"/>
  <c r="G22" i="4"/>
  <c r="R27" i="5"/>
  <c r="R18" i="5"/>
  <c r="C28" i="1"/>
  <c r="C40" i="1" s="1"/>
  <c r="E20" i="4" s="1"/>
  <c r="Q4" i="5"/>
  <c r="S4" i="5" s="1"/>
  <c r="Q34" i="5"/>
  <c r="Q8" i="5"/>
  <c r="Q22" i="5"/>
  <c r="Q32" i="5"/>
  <c r="Q39" i="5"/>
  <c r="Q26" i="5"/>
  <c r="Q35" i="5"/>
  <c r="Q28" i="5"/>
  <c r="Q12" i="5"/>
  <c r="Q17" i="5"/>
  <c r="S17" i="5" s="1"/>
  <c r="Q38" i="5"/>
  <c r="Q14" i="5"/>
  <c r="Q15" i="5"/>
  <c r="Q18" i="5"/>
  <c r="Q29" i="5"/>
  <c r="Q9" i="5"/>
  <c r="Q16" i="5"/>
  <c r="Q23" i="5"/>
  <c r="Q20" i="5"/>
  <c r="Q7" i="5"/>
  <c r="Q36" i="5"/>
  <c r="Q27" i="5"/>
  <c r="Q10" i="5"/>
  <c r="Q24" i="5"/>
  <c r="Q33" i="5"/>
  <c r="Q37" i="5"/>
  <c r="Q40" i="5"/>
  <c r="Q13" i="5"/>
  <c r="Q19" i="5"/>
  <c r="Q42" i="5"/>
  <c r="S42" i="5" s="1"/>
  <c r="Q21" i="5"/>
  <c r="Q47" i="5"/>
  <c r="Q46" i="5"/>
  <c r="S46" i="5" s="1"/>
  <c r="Q25" i="5"/>
  <c r="Q31" i="5"/>
  <c r="Q11" i="5"/>
  <c r="Q6" i="5"/>
  <c r="Q43" i="5"/>
  <c r="Q5" i="5"/>
  <c r="S5" i="5" s="1"/>
  <c r="Q50" i="5"/>
  <c r="Q30" i="5"/>
  <c r="S30" i="5" s="1"/>
  <c r="Q48" i="5"/>
  <c r="Q49" i="5"/>
  <c r="S49" i="5" s="1"/>
  <c r="Q45" i="5"/>
  <c r="Q44" i="5"/>
  <c r="Q41" i="5"/>
  <c r="Q51" i="5"/>
  <c r="Q52" i="5"/>
  <c r="Q53" i="5"/>
  <c r="S53" i="5" s="1"/>
  <c r="R14" i="5"/>
  <c r="R32" i="5"/>
  <c r="R47" i="5"/>
  <c r="R45" i="5"/>
  <c r="R28" i="5"/>
  <c r="R19" i="5"/>
  <c r="R10" i="5"/>
  <c r="R9" i="5"/>
  <c r="H21" i="4"/>
  <c r="R55" i="5"/>
  <c r="R6" i="5"/>
  <c r="R8" i="5"/>
  <c r="R31" i="5"/>
  <c r="R37" i="5"/>
  <c r="R20" i="5"/>
  <c r="R11" i="5"/>
  <c r="R56" i="5"/>
  <c r="R39" i="5"/>
  <c r="R15" i="5"/>
  <c r="R29" i="5"/>
  <c r="R12" i="5"/>
  <c r="R48" i="5"/>
  <c r="R58" i="5"/>
  <c r="R35" i="5"/>
  <c r="R57" i="5"/>
  <c r="AA55" i="5"/>
  <c r="AC55" i="5" s="1"/>
  <c r="L55" i="5"/>
  <c r="N55" i="5" s="1"/>
  <c r="AF55" i="5"/>
  <c r="AH55" i="5" s="1"/>
  <c r="Q55" i="5"/>
  <c r="V55" i="5"/>
  <c r="X55" i="5" s="1"/>
  <c r="K56" i="5"/>
  <c r="E57" i="5"/>
  <c r="F29" i="1"/>
  <c r="G42" i="1"/>
  <c r="G43" i="1"/>
  <c r="E28" i="1"/>
  <c r="G41" i="1" l="1"/>
  <c r="S27" i="5"/>
  <c r="S26" i="5"/>
  <c r="S21" i="5"/>
  <c r="S55" i="5"/>
  <c r="S43" i="5"/>
  <c r="S44" i="5"/>
  <c r="S36" i="5"/>
  <c r="S40" i="5"/>
  <c r="S16" i="5"/>
  <c r="S52" i="5"/>
  <c r="S50" i="5"/>
  <c r="S47" i="5"/>
  <c r="S33" i="5"/>
  <c r="S41" i="5"/>
  <c r="S18" i="5"/>
  <c r="S24" i="5"/>
  <c r="H41" i="1"/>
  <c r="S13" i="5"/>
  <c r="F40" i="1"/>
  <c r="D20" i="4"/>
  <c r="S38" i="5"/>
  <c r="AS5" i="5"/>
  <c r="S51" i="5"/>
  <c r="S25" i="5"/>
  <c r="S23" i="5"/>
  <c r="S9" i="5"/>
  <c r="S28" i="5"/>
  <c r="S10" i="5"/>
  <c r="S29" i="5"/>
  <c r="S35" i="5"/>
  <c r="AK56" i="5"/>
  <c r="AM56" i="5" s="1"/>
  <c r="AP56" i="5"/>
  <c r="AR56" i="5" s="1"/>
  <c r="S6" i="5"/>
  <c r="S19" i="5"/>
  <c r="S15" i="5"/>
  <c r="S39" i="5"/>
  <c r="S45" i="5"/>
  <c r="S11" i="5"/>
  <c r="S7" i="5"/>
  <c r="S14" i="5"/>
  <c r="S32" i="5"/>
  <c r="S31" i="5"/>
  <c r="S20" i="5"/>
  <c r="S22" i="5"/>
  <c r="S48" i="5"/>
  <c r="S37" i="5"/>
  <c r="S8" i="5"/>
  <c r="S12" i="5"/>
  <c r="S34" i="5"/>
  <c r="AJ3" i="5"/>
  <c r="AI4" i="5"/>
  <c r="AJ4" i="5" s="1"/>
  <c r="AD4" i="5"/>
  <c r="AE4" i="5" s="1"/>
  <c r="T3" i="5"/>
  <c r="U3" i="5" s="1"/>
  <c r="O3" i="5"/>
  <c r="P3" i="5" s="1"/>
  <c r="Y4" i="5"/>
  <c r="Z4" i="5" s="1"/>
  <c r="G39" i="1"/>
  <c r="E40" i="1"/>
  <c r="H20" i="4"/>
  <c r="G21" i="4"/>
  <c r="V56" i="5"/>
  <c r="X56" i="5" s="1"/>
  <c r="L56" i="5"/>
  <c r="N56" i="5" s="1"/>
  <c r="AA56" i="5"/>
  <c r="AC56" i="5" s="1"/>
  <c r="AF56" i="5"/>
  <c r="AH56" i="5" s="1"/>
  <c r="Q56" i="5"/>
  <c r="S56" i="5" s="1"/>
  <c r="K57" i="5"/>
  <c r="E58" i="5"/>
  <c r="F28" i="1"/>
  <c r="G40" i="1" l="1"/>
  <c r="AT5" i="5"/>
  <c r="AS6" i="5"/>
  <c r="AK57" i="5"/>
  <c r="AM57" i="5" s="1"/>
  <c r="AP57" i="5"/>
  <c r="AR57" i="5" s="1"/>
  <c r="AI5" i="5"/>
  <c r="AJ5" i="5" s="1"/>
  <c r="AD5" i="5"/>
  <c r="AE5" i="5" s="1"/>
  <c r="O4" i="5"/>
  <c r="P4" i="5" s="1"/>
  <c r="AM4" i="5" s="1"/>
  <c r="G24" i="4" s="1"/>
  <c r="AN3" i="5"/>
  <c r="AO3" i="5" s="1"/>
  <c r="T4" i="5"/>
  <c r="U4" i="5" s="1"/>
  <c r="Y5" i="5"/>
  <c r="Z5" i="5" s="1"/>
  <c r="H40" i="1"/>
  <c r="G20" i="4"/>
  <c r="Q57" i="5"/>
  <c r="S57" i="5" s="1"/>
  <c r="V57" i="5"/>
  <c r="X57" i="5" s="1"/>
  <c r="L57" i="5"/>
  <c r="N57" i="5" s="1"/>
  <c r="AA57" i="5"/>
  <c r="AC57" i="5" s="1"/>
  <c r="AF57" i="5"/>
  <c r="AH57" i="5" s="1"/>
  <c r="K58" i="5"/>
  <c r="E59" i="5"/>
  <c r="K59" i="5" s="1"/>
  <c r="AS7" i="5" l="1"/>
  <c r="AT6" i="5"/>
  <c r="AK59" i="5"/>
  <c r="AM59" i="5" s="1"/>
  <c r="AP59" i="5"/>
  <c r="AR59" i="5" s="1"/>
  <c r="AP58" i="5"/>
  <c r="AR58" i="5" s="1"/>
  <c r="AK58" i="5"/>
  <c r="AM58" i="5" s="1"/>
  <c r="AI6" i="5"/>
  <c r="AJ6" i="5" s="1"/>
  <c r="AD6" i="5"/>
  <c r="AE6" i="5" s="1"/>
  <c r="T5" i="5"/>
  <c r="U5" i="5" s="1"/>
  <c r="Y6" i="5"/>
  <c r="Z6" i="5" s="1"/>
  <c r="O5" i="5"/>
  <c r="P5" i="5" s="1"/>
  <c r="AN4" i="5"/>
  <c r="Q58" i="5"/>
  <c r="S58" i="5" s="1"/>
  <c r="V58" i="5"/>
  <c r="X58" i="5" s="1"/>
  <c r="L58" i="5"/>
  <c r="N58" i="5" s="1"/>
  <c r="AA58" i="5"/>
  <c r="AC58" i="5" s="1"/>
  <c r="AF58" i="5"/>
  <c r="AH58" i="5" s="1"/>
  <c r="Q59" i="5"/>
  <c r="S59" i="5" s="1"/>
  <c r="V59" i="5"/>
  <c r="X59" i="5" s="1"/>
  <c r="L59" i="5"/>
  <c r="N59" i="5" s="1"/>
  <c r="AA59" i="5"/>
  <c r="AC59" i="5" s="1"/>
  <c r="AF59" i="5"/>
  <c r="AH59" i="5" s="1"/>
  <c r="AI7" i="5" l="1"/>
  <c r="AJ7" i="5" s="1"/>
  <c r="AS8" i="5"/>
  <c r="AT7" i="5"/>
  <c r="AD7" i="5"/>
  <c r="AE7" i="5" s="1"/>
  <c r="AO4" i="5"/>
  <c r="AN5" i="5"/>
  <c r="T6" i="5"/>
  <c r="U6" i="5" s="1"/>
  <c r="Y7" i="5"/>
  <c r="Z7" i="5" s="1"/>
  <c r="O6" i="5"/>
  <c r="P6" i="5" s="1"/>
  <c r="AD8" i="5" l="1"/>
  <c r="AD9" i="5" s="1"/>
  <c r="AI8" i="5"/>
  <c r="AJ8" i="5" s="1"/>
  <c r="AS9" i="5"/>
  <c r="AT8" i="5"/>
  <c r="T7" i="5"/>
  <c r="U7" i="5" s="1"/>
  <c r="AN6" i="5"/>
  <c r="AO5" i="5"/>
  <c r="Y8" i="5"/>
  <c r="Z8" i="5" s="1"/>
  <c r="O7" i="5"/>
  <c r="P7" i="5" s="1"/>
  <c r="AI9" i="5" l="1"/>
  <c r="AJ9" i="5" s="1"/>
  <c r="AE8" i="5"/>
  <c r="AT9" i="5"/>
  <c r="AS10" i="5"/>
  <c r="T8" i="5"/>
  <c r="U8" i="5" s="1"/>
  <c r="AN7" i="5"/>
  <c r="AO6" i="5"/>
  <c r="Y9" i="5"/>
  <c r="Y10" i="5" s="1"/>
  <c r="Z10" i="5" s="1"/>
  <c r="O8" i="5"/>
  <c r="O9" i="5" s="1"/>
  <c r="AE9" i="5"/>
  <c r="AD10" i="5"/>
  <c r="AI10" i="5" l="1"/>
  <c r="AI11" i="5" s="1"/>
  <c r="T9" i="5"/>
  <c r="U9" i="5" s="1"/>
  <c r="AS11" i="5"/>
  <c r="AT10" i="5"/>
  <c r="Z9" i="5"/>
  <c r="AN8" i="5"/>
  <c r="AO7" i="5"/>
  <c r="Y11" i="5"/>
  <c r="Z11" i="5" s="1"/>
  <c r="P8" i="5"/>
  <c r="AD11" i="5"/>
  <c r="AE10" i="5"/>
  <c r="P9" i="5"/>
  <c r="O10" i="5"/>
  <c r="T10" i="5" l="1"/>
  <c r="T11" i="5" s="1"/>
  <c r="U11" i="5" s="1"/>
  <c r="AJ10" i="5"/>
  <c r="AT11" i="5"/>
  <c r="AS12" i="5"/>
  <c r="AN9" i="5"/>
  <c r="AO8" i="5"/>
  <c r="Y12" i="5"/>
  <c r="Z12" i="5" s="1"/>
  <c r="O11" i="5"/>
  <c r="P10" i="5"/>
  <c r="AI12" i="5"/>
  <c r="AJ11" i="5"/>
  <c r="AE11" i="5"/>
  <c r="AD12" i="5"/>
  <c r="T12" i="5" l="1"/>
  <c r="T13" i="5" s="1"/>
  <c r="U10" i="5"/>
  <c r="AS13" i="5"/>
  <c r="AT12" i="5"/>
  <c r="Y13" i="5"/>
  <c r="Y14" i="5" s="1"/>
  <c r="AN10" i="5"/>
  <c r="AO9" i="5"/>
  <c r="AE12" i="5"/>
  <c r="AD13" i="5"/>
  <c r="AJ12" i="5"/>
  <c r="AI13" i="5"/>
  <c r="P11" i="5"/>
  <c r="O12" i="5"/>
  <c r="U12" i="5" l="1"/>
  <c r="Z13" i="5"/>
  <c r="AT13" i="5"/>
  <c r="AS14" i="5"/>
  <c r="AN11" i="5"/>
  <c r="AO10" i="5"/>
  <c r="P12" i="5"/>
  <c r="O13" i="5"/>
  <c r="Y15" i="5"/>
  <c r="Z14" i="5"/>
  <c r="AD14" i="5"/>
  <c r="AE13" i="5"/>
  <c r="AJ13" i="5"/>
  <c r="AI14" i="5"/>
  <c r="U13" i="5"/>
  <c r="T14" i="5"/>
  <c r="AT14" i="5" l="1"/>
  <c r="AS15" i="5"/>
  <c r="AN12" i="5"/>
  <c r="AO11" i="5"/>
  <c r="AJ14" i="5"/>
  <c r="AI15" i="5"/>
  <c r="AE14" i="5"/>
  <c r="AD15" i="5"/>
  <c r="Z15" i="5"/>
  <c r="Y16" i="5"/>
  <c r="P13" i="5"/>
  <c r="O14" i="5"/>
  <c r="U14" i="5"/>
  <c r="T15" i="5"/>
  <c r="AS16" i="5" l="1"/>
  <c r="AT15" i="5"/>
  <c r="AN13" i="5"/>
  <c r="AO12" i="5"/>
  <c r="AE15" i="5"/>
  <c r="AD16" i="5"/>
  <c r="O15" i="5"/>
  <c r="P14" i="5"/>
  <c r="Z16" i="5"/>
  <c r="Y17" i="5"/>
  <c r="AJ15" i="5"/>
  <c r="AI16" i="5"/>
  <c r="T16" i="5"/>
  <c r="U15" i="5"/>
  <c r="AS17" i="5" l="1"/>
  <c r="AT16" i="5"/>
  <c r="AN14" i="5"/>
  <c r="AO13" i="5"/>
  <c r="Z17" i="5"/>
  <c r="Y18" i="5"/>
  <c r="AJ16" i="5"/>
  <c r="AI17" i="5"/>
  <c r="AD17" i="5"/>
  <c r="AE16" i="5"/>
  <c r="P15" i="5"/>
  <c r="O16" i="5"/>
  <c r="U16" i="5"/>
  <c r="T17" i="5"/>
  <c r="AS18" i="5" l="1"/>
  <c r="AT17" i="5"/>
  <c r="AN15" i="5"/>
  <c r="AO14" i="5"/>
  <c r="O17" i="5"/>
  <c r="P16" i="5"/>
  <c r="AI18" i="5"/>
  <c r="AJ17" i="5"/>
  <c r="U17" i="5"/>
  <c r="T18" i="5"/>
  <c r="Z18" i="5"/>
  <c r="Y19" i="5"/>
  <c r="AE17" i="5"/>
  <c r="AD18" i="5"/>
  <c r="AS19" i="5" l="1"/>
  <c r="AT18" i="5"/>
  <c r="AN16" i="5"/>
  <c r="AO15" i="5"/>
  <c r="Z19" i="5"/>
  <c r="Y20" i="5"/>
  <c r="U18" i="5"/>
  <c r="T19" i="5"/>
  <c r="AI19" i="5"/>
  <c r="AJ18" i="5"/>
  <c r="AE18" i="5"/>
  <c r="AD19" i="5"/>
  <c r="P17" i="5"/>
  <c r="O18" i="5"/>
  <c r="AT19" i="5" l="1"/>
  <c r="AS20" i="5"/>
  <c r="AN17" i="5"/>
  <c r="AO16" i="5"/>
  <c r="AJ19" i="5"/>
  <c r="AI20" i="5"/>
  <c r="Y21" i="5"/>
  <c r="Z20" i="5"/>
  <c r="AE19" i="5"/>
  <c r="AD20" i="5"/>
  <c r="U19" i="5"/>
  <c r="T20" i="5"/>
  <c r="P18" i="5"/>
  <c r="O19" i="5"/>
  <c r="AS21" i="5" l="1"/>
  <c r="AT20" i="5"/>
  <c r="AN18" i="5"/>
  <c r="AO17" i="5"/>
  <c r="U20" i="5"/>
  <c r="T21" i="5"/>
  <c r="AD21" i="5"/>
  <c r="AE20" i="5"/>
  <c r="AI21" i="5"/>
  <c r="AJ20" i="5"/>
  <c r="Y22" i="5"/>
  <c r="Z21" i="5"/>
  <c r="P19" i="5"/>
  <c r="O20" i="5"/>
  <c r="AS22" i="5" l="1"/>
  <c r="AT21" i="5"/>
  <c r="AN19" i="5"/>
  <c r="AO18" i="5"/>
  <c r="AJ21" i="5"/>
  <c r="AI22" i="5"/>
  <c r="P20" i="5"/>
  <c r="O21" i="5"/>
  <c r="T22" i="5"/>
  <c r="U21" i="5"/>
  <c r="Z22" i="5"/>
  <c r="Y23" i="5"/>
  <c r="AE21" i="5"/>
  <c r="AD22" i="5"/>
  <c r="AS23" i="5" l="1"/>
  <c r="AT22" i="5"/>
  <c r="AN20" i="5"/>
  <c r="AO19" i="5"/>
  <c r="AE22" i="5"/>
  <c r="AD23" i="5"/>
  <c r="AJ22" i="5"/>
  <c r="AI23" i="5"/>
  <c r="Y24" i="5"/>
  <c r="Z23" i="5"/>
  <c r="U22" i="5"/>
  <c r="T23" i="5"/>
  <c r="O22" i="5"/>
  <c r="P21" i="5"/>
  <c r="AS24" i="5" l="1"/>
  <c r="AT23" i="5"/>
  <c r="AN21" i="5"/>
  <c r="AO20" i="5"/>
  <c r="Z24" i="5"/>
  <c r="Y25" i="5"/>
  <c r="AE23" i="5"/>
  <c r="AD24" i="5"/>
  <c r="U23" i="5"/>
  <c r="T24" i="5"/>
  <c r="AJ23" i="5"/>
  <c r="AI24" i="5"/>
  <c r="P22" i="5"/>
  <c r="O23" i="5"/>
  <c r="AS25" i="5" l="1"/>
  <c r="AT24" i="5"/>
  <c r="AN22" i="5"/>
  <c r="AO21" i="5"/>
  <c r="AJ24" i="5"/>
  <c r="AI25" i="5"/>
  <c r="AE24" i="5"/>
  <c r="AD25" i="5"/>
  <c r="U24" i="5"/>
  <c r="T25" i="5"/>
  <c r="P23" i="5"/>
  <c r="O24" i="5"/>
  <c r="Z25" i="5"/>
  <c r="Y26" i="5"/>
  <c r="AS26" i="5" l="1"/>
  <c r="AT25" i="5"/>
  <c r="AN23" i="5"/>
  <c r="AO22" i="5"/>
  <c r="T26" i="5"/>
  <c r="U25" i="5"/>
  <c r="O25" i="5"/>
  <c r="P24" i="5"/>
  <c r="AE25" i="5"/>
  <c r="AD26" i="5"/>
  <c r="AJ25" i="5"/>
  <c r="AI26" i="5"/>
  <c r="Z26" i="5"/>
  <c r="Y27" i="5"/>
  <c r="AS27" i="5" l="1"/>
  <c r="AT26" i="5"/>
  <c r="AN24" i="5"/>
  <c r="AO23" i="5"/>
  <c r="AJ26" i="5"/>
  <c r="AI27" i="5"/>
  <c r="AE26" i="5"/>
  <c r="AD27" i="5"/>
  <c r="P25" i="5"/>
  <c r="O26" i="5"/>
  <c r="Z27" i="5"/>
  <c r="Y28" i="5"/>
  <c r="U26" i="5"/>
  <c r="T27" i="5"/>
  <c r="AS28" i="5" l="1"/>
  <c r="AT27" i="5"/>
  <c r="AN25" i="5"/>
  <c r="AO24" i="5"/>
  <c r="Y29" i="5"/>
  <c r="Z28" i="5"/>
  <c r="O27" i="5"/>
  <c r="P26" i="5"/>
  <c r="AE27" i="5"/>
  <c r="AD28" i="5"/>
  <c r="AJ27" i="5"/>
  <c r="AI28" i="5"/>
  <c r="U27" i="5"/>
  <c r="T28" i="5"/>
  <c r="AS29" i="5" l="1"/>
  <c r="AT28" i="5"/>
  <c r="AN26" i="5"/>
  <c r="AO25" i="5"/>
  <c r="AI29" i="5"/>
  <c r="AJ28" i="5"/>
  <c r="AE28" i="5"/>
  <c r="AD29" i="5"/>
  <c r="P27" i="5"/>
  <c r="O28" i="5"/>
  <c r="U28" i="5"/>
  <c r="T29" i="5"/>
  <c r="Z29" i="5"/>
  <c r="Y30" i="5"/>
  <c r="AS30" i="5" l="1"/>
  <c r="AT29" i="5"/>
  <c r="AN27" i="5"/>
  <c r="AO26" i="5"/>
  <c r="T30" i="5"/>
  <c r="U29" i="5"/>
  <c r="P28" i="5"/>
  <c r="O29" i="5"/>
  <c r="Y31" i="5"/>
  <c r="Z30" i="5"/>
  <c r="AE29" i="5"/>
  <c r="AD30" i="5"/>
  <c r="AI30" i="5"/>
  <c r="AJ29" i="5"/>
  <c r="AS31" i="5" l="1"/>
  <c r="AT30" i="5"/>
  <c r="AN28" i="5"/>
  <c r="AO27" i="5"/>
  <c r="AE30" i="5"/>
  <c r="AD31" i="5"/>
  <c r="Z31" i="5"/>
  <c r="Y32" i="5"/>
  <c r="P29" i="5"/>
  <c r="O30" i="5"/>
  <c r="AJ30" i="5"/>
  <c r="AI31" i="5"/>
  <c r="U30" i="5"/>
  <c r="T31" i="5"/>
  <c r="AS32" i="5" l="1"/>
  <c r="AT31" i="5"/>
  <c r="AN29" i="5"/>
  <c r="AO28" i="5"/>
  <c r="AI32" i="5"/>
  <c r="AJ31" i="5"/>
  <c r="Z32" i="5"/>
  <c r="Y33" i="5"/>
  <c r="AE31" i="5"/>
  <c r="AD32" i="5"/>
  <c r="P30" i="5"/>
  <c r="O31" i="5"/>
  <c r="U31" i="5"/>
  <c r="T32" i="5"/>
  <c r="AS33" i="5" l="1"/>
  <c r="AT32" i="5"/>
  <c r="AN30" i="5"/>
  <c r="AO29" i="5"/>
  <c r="P31" i="5"/>
  <c r="O32" i="5"/>
  <c r="U32" i="5"/>
  <c r="T33" i="5"/>
  <c r="AD33" i="5"/>
  <c r="AE32" i="5"/>
  <c r="Z33" i="5"/>
  <c r="Y34" i="5"/>
  <c r="AJ32" i="5"/>
  <c r="AI33" i="5"/>
  <c r="AS34" i="5" l="1"/>
  <c r="AT33" i="5"/>
  <c r="AN31" i="5"/>
  <c r="AO30" i="5"/>
  <c r="AE33" i="5"/>
  <c r="AD34" i="5"/>
  <c r="Z34" i="5"/>
  <c r="Y35" i="5"/>
  <c r="U33" i="5"/>
  <c r="T34" i="5"/>
  <c r="AJ33" i="5"/>
  <c r="AI34" i="5"/>
  <c r="P32" i="5"/>
  <c r="O33" i="5"/>
  <c r="AS35" i="5" l="1"/>
  <c r="AT34" i="5"/>
  <c r="AN32" i="5"/>
  <c r="AO31" i="5"/>
  <c r="T35" i="5"/>
  <c r="U34" i="5"/>
  <c r="Z35" i="5"/>
  <c r="Y36" i="5"/>
  <c r="AJ34" i="5"/>
  <c r="AI35" i="5"/>
  <c r="P33" i="5"/>
  <c r="O34" i="5"/>
  <c r="AD35" i="5"/>
  <c r="AE34" i="5"/>
  <c r="AS36" i="5" l="1"/>
  <c r="AT35" i="5"/>
  <c r="AN33" i="5"/>
  <c r="AO32" i="5"/>
  <c r="AJ35" i="5"/>
  <c r="AI36" i="5"/>
  <c r="P34" i="5"/>
  <c r="O35" i="5"/>
  <c r="Z36" i="5"/>
  <c r="Y37" i="5"/>
  <c r="AD36" i="5"/>
  <c r="AE35" i="5"/>
  <c r="U35" i="5"/>
  <c r="T36" i="5"/>
  <c r="AS37" i="5" l="1"/>
  <c r="AT36" i="5"/>
  <c r="AN34" i="5"/>
  <c r="AO33" i="5"/>
  <c r="AE36" i="5"/>
  <c r="AD37" i="5"/>
  <c r="AI37" i="5"/>
  <c r="AJ36" i="5"/>
  <c r="Z37" i="5"/>
  <c r="Y38" i="5"/>
  <c r="P35" i="5"/>
  <c r="O36" i="5"/>
  <c r="T37" i="5"/>
  <c r="U36" i="5"/>
  <c r="AS38" i="5" l="1"/>
  <c r="AT37" i="5"/>
  <c r="AN35" i="5"/>
  <c r="AO34" i="5"/>
  <c r="Z38" i="5"/>
  <c r="Y39" i="5"/>
  <c r="AI38" i="5"/>
  <c r="AJ37" i="5"/>
  <c r="AE37" i="5"/>
  <c r="AD38" i="5"/>
  <c r="O37" i="5"/>
  <c r="P36" i="5"/>
  <c r="U37" i="5"/>
  <c r="T38" i="5"/>
  <c r="AS39" i="5" l="1"/>
  <c r="AT38" i="5"/>
  <c r="AN36" i="5"/>
  <c r="AO35" i="5"/>
  <c r="P37" i="5"/>
  <c r="O38" i="5"/>
  <c r="AJ38" i="5"/>
  <c r="AI39" i="5"/>
  <c r="AE38" i="5"/>
  <c r="AD39" i="5"/>
  <c r="U38" i="5"/>
  <c r="T39" i="5"/>
  <c r="Z39" i="5"/>
  <c r="Y40" i="5"/>
  <c r="AS40" i="5" l="1"/>
  <c r="AT39" i="5"/>
  <c r="AN37" i="5"/>
  <c r="AO36" i="5"/>
  <c r="U39" i="5"/>
  <c r="T40" i="5"/>
  <c r="AE39" i="5"/>
  <c r="AD40" i="5"/>
  <c r="AJ39" i="5"/>
  <c r="AI40" i="5"/>
  <c r="Z40" i="5"/>
  <c r="Y41" i="5"/>
  <c r="P38" i="5"/>
  <c r="O39" i="5"/>
  <c r="AT40" i="5" l="1"/>
  <c r="AS41" i="5"/>
  <c r="AN38" i="5"/>
  <c r="AO37" i="5"/>
  <c r="AE40" i="5"/>
  <c r="AD41" i="5"/>
  <c r="AJ40" i="5"/>
  <c r="AI41" i="5"/>
  <c r="U40" i="5"/>
  <c r="T41" i="5"/>
  <c r="Z41" i="5"/>
  <c r="Y42" i="5"/>
  <c r="P39" i="5"/>
  <c r="O40" i="5"/>
  <c r="AS42" i="5" l="1"/>
  <c r="AT41" i="5"/>
  <c r="AN39" i="5"/>
  <c r="AO38" i="5"/>
  <c r="U41" i="5"/>
  <c r="T42" i="5"/>
  <c r="AJ41" i="5"/>
  <c r="AI42" i="5"/>
  <c r="Z42" i="5"/>
  <c r="Y43" i="5"/>
  <c r="P40" i="5"/>
  <c r="O41" i="5"/>
  <c r="AD42" i="5"/>
  <c r="AE41" i="5"/>
  <c r="AS43" i="5" l="1"/>
  <c r="AT42" i="5"/>
  <c r="AN40" i="5"/>
  <c r="AO39" i="5"/>
  <c r="Z43" i="5"/>
  <c r="Y44" i="5"/>
  <c r="P41" i="5"/>
  <c r="O42" i="5"/>
  <c r="AI43" i="5"/>
  <c r="AJ42" i="5"/>
  <c r="U42" i="5"/>
  <c r="T43" i="5"/>
  <c r="AE42" i="5"/>
  <c r="AD43" i="5"/>
  <c r="AS44" i="5" l="1"/>
  <c r="AT43" i="5"/>
  <c r="AN41" i="5"/>
  <c r="AO40" i="5"/>
  <c r="U43" i="5"/>
  <c r="T44" i="5"/>
  <c r="AJ43" i="5"/>
  <c r="AI44" i="5"/>
  <c r="Z44" i="5"/>
  <c r="Y45" i="5"/>
  <c r="P42" i="5"/>
  <c r="O43" i="5"/>
  <c r="AE43" i="5"/>
  <c r="AD44" i="5"/>
  <c r="AS45" i="5" l="1"/>
  <c r="AT44" i="5"/>
  <c r="AN42" i="5"/>
  <c r="AO41" i="5"/>
  <c r="P43" i="5"/>
  <c r="O44" i="5"/>
  <c r="AE44" i="5"/>
  <c r="AD45" i="5"/>
  <c r="U44" i="5"/>
  <c r="T45" i="5"/>
  <c r="Z45" i="5"/>
  <c r="Y46" i="5"/>
  <c r="AI45" i="5"/>
  <c r="AJ44" i="5"/>
  <c r="AS46" i="5" l="1"/>
  <c r="AT45" i="5"/>
  <c r="AN43" i="5"/>
  <c r="AO42" i="5"/>
  <c r="U45" i="5"/>
  <c r="T46" i="5"/>
  <c r="Z46" i="5"/>
  <c r="Y47" i="5"/>
  <c r="AD46" i="5"/>
  <c r="AE45" i="5"/>
  <c r="P44" i="5"/>
  <c r="O45" i="5"/>
  <c r="AI46" i="5"/>
  <c r="AJ45" i="5"/>
  <c r="AS47" i="5" l="1"/>
  <c r="AT46" i="5"/>
  <c r="AN44" i="5"/>
  <c r="AO43" i="5"/>
  <c r="AE46" i="5"/>
  <c r="AD47" i="5"/>
  <c r="Z47" i="5"/>
  <c r="Y48" i="5"/>
  <c r="U46" i="5"/>
  <c r="T47" i="5"/>
  <c r="P45" i="5"/>
  <c r="O46" i="5"/>
  <c r="AJ46" i="5"/>
  <c r="AI47" i="5"/>
  <c r="AS48" i="5" l="1"/>
  <c r="AT47" i="5"/>
  <c r="AN45" i="5"/>
  <c r="AO44" i="5"/>
  <c r="Y49" i="5"/>
  <c r="Z48" i="5"/>
  <c r="U47" i="5"/>
  <c r="T48" i="5"/>
  <c r="AJ47" i="5"/>
  <c r="AI48" i="5"/>
  <c r="AE47" i="5"/>
  <c r="AD48" i="5"/>
  <c r="P46" i="5"/>
  <c r="O47" i="5"/>
  <c r="AS49" i="5" l="1"/>
  <c r="AT48" i="5"/>
  <c r="AN46" i="5"/>
  <c r="AO45" i="5"/>
  <c r="Z49" i="5"/>
  <c r="Y50" i="5"/>
  <c r="AE48" i="5"/>
  <c r="AD49" i="5"/>
  <c r="AJ48" i="5"/>
  <c r="AI49" i="5"/>
  <c r="U48" i="5"/>
  <c r="T49" i="5"/>
  <c r="P47" i="5"/>
  <c r="O48" i="5"/>
  <c r="AS50" i="5" l="1"/>
  <c r="AT49" i="5"/>
  <c r="AN47" i="5"/>
  <c r="AO46" i="5"/>
  <c r="AJ49" i="5"/>
  <c r="AI50" i="5"/>
  <c r="U49" i="5"/>
  <c r="T50" i="5"/>
  <c r="AE49" i="5"/>
  <c r="AD50" i="5"/>
  <c r="O49" i="5"/>
  <c r="P48" i="5"/>
  <c r="Y51" i="5"/>
  <c r="Z50" i="5"/>
  <c r="AS51" i="5" l="1"/>
  <c r="AT50" i="5"/>
  <c r="AN48" i="5"/>
  <c r="AO47" i="5"/>
  <c r="AD51" i="5"/>
  <c r="AE50" i="5"/>
  <c r="U50" i="5"/>
  <c r="T51" i="5"/>
  <c r="P49" i="5"/>
  <c r="F19" i="4" s="1"/>
  <c r="O50" i="5"/>
  <c r="AJ50" i="5"/>
  <c r="AI51" i="5"/>
  <c r="Z51" i="5"/>
  <c r="Y52" i="5"/>
  <c r="AT51" i="5" l="1"/>
  <c r="AS52" i="5"/>
  <c r="AN49" i="5"/>
  <c r="AO48" i="5"/>
  <c r="P50" i="5"/>
  <c r="O51" i="5"/>
  <c r="U51" i="5"/>
  <c r="T52" i="5"/>
  <c r="AJ51" i="5"/>
  <c r="AI52" i="5"/>
  <c r="Z52" i="5"/>
  <c r="Y53" i="5"/>
  <c r="AE51" i="5"/>
  <c r="AD52" i="5"/>
  <c r="AS53" i="5" l="1"/>
  <c r="AT52" i="5"/>
  <c r="AN50" i="5"/>
  <c r="AO49" i="5"/>
  <c r="Y54" i="5"/>
  <c r="Z53" i="5"/>
  <c r="AI53" i="5"/>
  <c r="AJ52" i="5"/>
  <c r="U52" i="5"/>
  <c r="T53" i="5"/>
  <c r="AE52" i="5"/>
  <c r="AD53" i="5"/>
  <c r="P51" i="5"/>
  <c r="O52" i="5"/>
  <c r="AS54" i="5" l="1"/>
  <c r="AT53" i="5"/>
  <c r="AN51" i="5"/>
  <c r="AO50" i="5"/>
  <c r="AE53" i="5"/>
  <c r="AD54" i="5"/>
  <c r="T54" i="5"/>
  <c r="U53" i="5"/>
  <c r="AI54" i="5"/>
  <c r="AJ53" i="5"/>
  <c r="P52" i="5"/>
  <c r="O53" i="5"/>
  <c r="Z54" i="5"/>
  <c r="Y55" i="5"/>
  <c r="AS55" i="5" l="1"/>
  <c r="AT54" i="5"/>
  <c r="AN52" i="5"/>
  <c r="AO51" i="5"/>
  <c r="AJ54" i="5"/>
  <c r="AI55" i="5"/>
  <c r="P53" i="5"/>
  <c r="O54" i="5"/>
  <c r="U54" i="5"/>
  <c r="T55" i="5"/>
  <c r="Z55" i="5"/>
  <c r="Y56" i="5"/>
  <c r="AE54" i="5"/>
  <c r="AD55" i="5"/>
  <c r="AS56" i="5" l="1"/>
  <c r="AT55" i="5"/>
  <c r="AN53" i="5"/>
  <c r="AO52" i="5"/>
  <c r="U55" i="5"/>
  <c r="T56" i="5"/>
  <c r="AE55" i="5"/>
  <c r="AD56" i="5"/>
  <c r="Z56" i="5"/>
  <c r="Y57" i="5"/>
  <c r="O55" i="5"/>
  <c r="P54" i="5"/>
  <c r="AJ55" i="5"/>
  <c r="AI56" i="5"/>
  <c r="AS57" i="5" l="1"/>
  <c r="AT56" i="5"/>
  <c r="AN54" i="5"/>
  <c r="AO53" i="5"/>
  <c r="P55" i="5"/>
  <c r="O56" i="5"/>
  <c r="Y58" i="5"/>
  <c r="Z57" i="5"/>
  <c r="AE56" i="5"/>
  <c r="AD57" i="5"/>
  <c r="AI57" i="5"/>
  <c r="AJ56" i="5"/>
  <c r="T57" i="5"/>
  <c r="U56" i="5"/>
  <c r="AS58" i="5" l="1"/>
  <c r="AT57" i="5"/>
  <c r="AN55" i="5"/>
  <c r="AO54" i="5"/>
  <c r="U57" i="5"/>
  <c r="T58" i="5"/>
  <c r="AJ57" i="5"/>
  <c r="AI58" i="5"/>
  <c r="AD58" i="5"/>
  <c r="AE57" i="5"/>
  <c r="Z58" i="5"/>
  <c r="Y59" i="5"/>
  <c r="Z59" i="5" s="1"/>
  <c r="F21" i="4" s="1"/>
  <c r="O57" i="5"/>
  <c r="P56" i="5"/>
  <c r="AS59" i="5" l="1"/>
  <c r="AT59" i="5" s="1"/>
  <c r="AT58" i="5"/>
  <c r="AN56" i="5"/>
  <c r="AO55" i="5"/>
  <c r="AE58" i="5"/>
  <c r="AD59" i="5"/>
  <c r="AE59" i="5" s="1"/>
  <c r="F22" i="4" s="1"/>
  <c r="T59" i="5"/>
  <c r="U59" i="5" s="1"/>
  <c r="F20" i="4" s="1"/>
  <c r="U58" i="5"/>
  <c r="AJ58" i="5"/>
  <c r="AI59" i="5"/>
  <c r="AJ59" i="5" s="1"/>
  <c r="F23" i="4" s="1"/>
  <c r="P57" i="5"/>
  <c r="O58" i="5"/>
  <c r="F25" i="4" l="1"/>
  <c r="AN57" i="5"/>
  <c r="AO56" i="5"/>
  <c r="P58" i="5"/>
  <c r="O59" i="5"/>
  <c r="P59" i="5" s="1"/>
  <c r="AN58" i="5" l="1"/>
  <c r="AO57" i="5"/>
  <c r="AN59" i="5" l="1"/>
  <c r="AO59" i="5" s="1"/>
  <c r="AO58" i="5"/>
  <c r="F2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</author>
    <author>bmaia</author>
  </authors>
  <commentList>
    <comment ref="C3" authorId="0" shapeId="0" xr:uid="{83C63BD9-91DF-49F1-9F54-1D1C173EE24B}">
      <text>
        <r>
          <rPr>
            <sz val="9"/>
            <color indexed="81"/>
            <rFont val="Segoe UI"/>
            <family val="2"/>
          </rPr>
          <t>Must be updated manually</t>
        </r>
      </text>
    </comment>
    <comment ref="D7" authorId="0" shapeId="0" xr:uid="{7BB8B17C-927A-4EED-976B-315377F1BD49}">
      <text>
        <r>
          <rPr>
            <sz val="9"/>
            <color rgb="FF000000"/>
            <rFont val="Segoe UI"/>
            <family val="2"/>
          </rPr>
          <t>Including shipping, importation fees etc</t>
        </r>
        <r>
          <rPr>
            <b/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(estimation at 20% surplus)</t>
        </r>
      </text>
    </comment>
    <comment ref="H7" authorId="0" shapeId="0" xr:uid="{662F619C-6B5F-457E-8335-E81448581AC6}">
      <text>
        <r>
          <rPr>
            <sz val="9"/>
            <color indexed="81"/>
            <rFont val="Segoe UI"/>
            <family val="2"/>
          </rPr>
          <t>Calculation of approx amount of servers to fit 1 MWh of energy capacity</t>
        </r>
      </text>
    </comment>
    <comment ref="B22" authorId="1" shapeId="0" xr:uid="{1B560B8B-9ACE-475B-B9D8-3E7AE00F54D6}">
      <text>
        <r>
          <rPr>
            <b/>
            <sz val="9"/>
            <color indexed="81"/>
            <rFont val="Tahoma"/>
            <family val="2"/>
          </rPr>
          <t>bmaia:</t>
        </r>
        <r>
          <rPr>
            <sz val="9"/>
            <color indexed="81"/>
            <rFont val="Tahoma"/>
            <family val="2"/>
          </rPr>
          <t xml:space="preserve">
Total OPEX Cost price must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</author>
  </authors>
  <commentList>
    <comment ref="C3" authorId="0" shapeId="0" xr:uid="{935AE68A-3C48-4372-9905-2BA32932D02D}">
      <text>
        <r>
          <rPr>
            <sz val="9"/>
            <color indexed="81"/>
            <rFont val="Segoe UI"/>
            <family val="2"/>
          </rPr>
          <t>Must be updated manually</t>
        </r>
      </text>
    </comment>
  </commentList>
</comments>
</file>

<file path=xl/sharedStrings.xml><?xml version="1.0" encoding="utf-8"?>
<sst xmlns="http://schemas.openxmlformats.org/spreadsheetml/2006/main" count="224" uniqueCount="184">
  <si>
    <t>Product Name</t>
  </si>
  <si>
    <t>Price per server USD</t>
  </si>
  <si>
    <t>Price per server Delivered USD</t>
  </si>
  <si>
    <t>Hashing per server (TH)</t>
  </si>
  <si>
    <t>consumption per server (W)</t>
  </si>
  <si>
    <t>Server Price per TH (USD)</t>
  </si>
  <si>
    <t>Amount of Servers per MW</t>
  </si>
  <si>
    <t>electricity + rent park</t>
  </si>
  <si>
    <t>USD cents per KWh</t>
  </si>
  <si>
    <t>labor + maitanance</t>
  </si>
  <si>
    <t>extra(internet, water,..)</t>
  </si>
  <si>
    <t>Mangement fee</t>
  </si>
  <si>
    <t>Eco (carbon free) extra costs</t>
  </si>
  <si>
    <t>USD/KWh</t>
  </si>
  <si>
    <t>Server Type</t>
  </si>
  <si>
    <t>CONSOLIDATED INFO PER MW/h (to be used on Cash Flow Analysis tab)</t>
  </si>
  <si>
    <t>Total CAPEX per MW</t>
  </si>
  <si>
    <t>Hasing Rate per MW (TH)</t>
  </si>
  <si>
    <t>Financial Analysis</t>
  </si>
  <si>
    <t>OPEX Per MW yearly (USD)</t>
  </si>
  <si>
    <t>Yearly OPEX per TH</t>
  </si>
  <si>
    <t>1 YEAR TCO (USD/TH)</t>
  </si>
  <si>
    <t>2 YEARS TCO (USD/TH)</t>
  </si>
  <si>
    <t>Add on the light blue columns the Miner specs &amp; Price</t>
  </si>
  <si>
    <t>MINER ANALYSIER - COMPACT VERSION FOR FAST DECISIONS</t>
  </si>
  <si>
    <t>Miner Type</t>
  </si>
  <si>
    <t>All in OPEX per KWh USD</t>
  </si>
  <si>
    <t>OPEX TECHNICAL INPUTS (add on blue columns the OPEX inputs)</t>
  </si>
  <si>
    <t>PROJECT SIZE (MW)</t>
  </si>
  <si>
    <t>Current BTC Hasing (Ehash)</t>
  </si>
  <si>
    <t>OPEX per MW monthly USD</t>
  </si>
  <si>
    <t>Network transfer fee (%)</t>
  </si>
  <si>
    <t>BTC  Price USD</t>
  </si>
  <si>
    <t>General Info</t>
  </si>
  <si>
    <t xml:space="preserve">How to use excel: </t>
  </si>
  <si>
    <t>Month</t>
  </si>
  <si>
    <t>TIMELINE</t>
  </si>
  <si>
    <t>Month Name</t>
  </si>
  <si>
    <t>Year of Operation</t>
  </si>
  <si>
    <t># of months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</si>
  <si>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</si>
  <si>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</si>
  <si>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</si>
  <si>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</si>
  <si>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</si>
  <si>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</si>
  <si>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</si>
  <si>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</si>
  <si>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</si>
  <si>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</si>
  <si>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</si>
  <si>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</si>
  <si>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</si>
  <si>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</si>
  <si>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</si>
  <si>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</si>
  <si>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</si>
  <si>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</si>
  <si>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</si>
  <si>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</si>
  <si>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</si>
  <si>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</si>
  <si>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</si>
  <si>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</si>
  <si>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</si>
  <si>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</si>
  <si>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</si>
  <si>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</si>
  <si>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</si>
  <si>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</si>
  <si>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</si>
  <si>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</si>
  <si>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</si>
  <si>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</si>
  <si>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</si>
  <si>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</si>
  <si>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</si>
  <si>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</si>
  <si>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</si>
  <si>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</si>
  <si>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</si>
  <si>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</si>
  <si>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</si>
  <si>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</si>
  <si>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</si>
  <si>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</si>
  <si>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</si>
  <si>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</si>
  <si>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</si>
  <si>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</si>
  <si>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</si>
  <si>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</si>
  <si>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</si>
  <si>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</si>
  <si>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</si>
  <si>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</si>
  <si>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</si>
  <si>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Network hashrate, PH/s</t>
  </si>
  <si>
    <t>BTC price, $</t>
  </si>
  <si>
    <t>Block Reward</t>
  </si>
  <si>
    <t>Bitcoin mined, BTC (monthly)</t>
  </si>
  <si>
    <t>NW Tx fees, BTC (monthly)</t>
  </si>
  <si>
    <t>Network revenue, BTC</t>
  </si>
  <si>
    <t>Revenue for 1 TH/s, BTC</t>
  </si>
  <si>
    <t>Rev share local partner</t>
  </si>
  <si>
    <t>BTC NETWORK</t>
  </si>
  <si>
    <t>KPI PBP</t>
  </si>
  <si>
    <t>MINERS DC CAPEX per TH</t>
  </si>
  <si>
    <t>S9</t>
  </si>
  <si>
    <t>MINING PROJECT GENERAL INFO</t>
  </si>
  <si>
    <t>MINING OPTIONS FINANCIAL KPIs</t>
  </si>
  <si>
    <t>Miner CAPEX USD per MW</t>
  </si>
  <si>
    <t>TOTAL OPERATION COSTS NORMALIZED PER HASHING RATE (USD/TH) - PER MW</t>
  </si>
  <si>
    <t>Payback Period (Months)</t>
  </si>
  <si>
    <t>Support Info</t>
  </si>
  <si>
    <t>Total CAPEX Invested USD</t>
  </si>
  <si>
    <t>Monthly Net Income per TH (USD/TH)</t>
  </si>
  <si>
    <t>Revenue per MWh (USD/MWh)</t>
  </si>
  <si>
    <t>Pool Lucky Rate (%)</t>
  </si>
  <si>
    <t>Uptime Calculator (Support)</t>
  </si>
  <si>
    <t>% of Operation Time</t>
  </si>
  <si>
    <t>Values</t>
  </si>
  <si>
    <t>S17</t>
  </si>
  <si>
    <t>T17</t>
  </si>
  <si>
    <t>S19</t>
  </si>
  <si>
    <t>M20s</t>
  </si>
  <si>
    <t>M31s</t>
  </si>
  <si>
    <t>M30s+</t>
  </si>
  <si>
    <t>TOTAL CAPEX FOR MINERS USD/TH</t>
  </si>
  <si>
    <t>VAT (%)</t>
  </si>
  <si>
    <t>Pod Tech List</t>
  </si>
  <si>
    <t>20 foot AirCooled</t>
  </si>
  <si>
    <t>40 foot AirCooled</t>
  </si>
  <si>
    <t>Line 4 Column B to F contains project size input and main parameters for BTC network (can be updated)
Line 8 to 12 on the light green columns add the specs for the miners to be evaluated
Line 17 to 21 Column C (light blue column) add OPEX info, change if its needed for your project analysis
Column F lines 18 &amp; 19 are inputs for support on Uptime calculation (for partial operation option)
Lines 39 to 45 Column B to H gives costs normalized per TH, lower the better
Lines 27 to 33 Column H Choose POD Type and Size</t>
  </si>
  <si>
    <t>Pod Tech &amp; Size Choice</t>
  </si>
  <si>
    <t>Number of hours per year (h)</t>
  </si>
  <si>
    <t>Uptime value to be used (%)</t>
  </si>
  <si>
    <t>Infrastructure Assumptions</t>
  </si>
  <si>
    <t>Cost of Transformer per MW</t>
  </si>
  <si>
    <t>Cost of installation per MW</t>
  </si>
  <si>
    <t>Value USD</t>
  </si>
  <si>
    <t>Cost per container USD per MW</t>
  </si>
  <si>
    <t>s9</t>
  </si>
  <si>
    <t>s17</t>
  </si>
  <si>
    <t>s19</t>
  </si>
  <si>
    <t>M30s</t>
  </si>
  <si>
    <t>20ft air</t>
  </si>
  <si>
    <t>40ft air</t>
  </si>
  <si>
    <t>Container Type</t>
  </si>
  <si>
    <t xml:space="preserve"> Power consumed kw</t>
  </si>
  <si>
    <t xml:space="preserve">Observation on Container choice: 
Optimum container choice is based on equipment and total power expected for project. </t>
  </si>
  <si>
    <t>DC &amp; Installation Cost per MW</t>
  </si>
  <si>
    <t>Column1</t>
  </si>
  <si>
    <t>Column2</t>
  </si>
  <si>
    <t>Column3</t>
  </si>
  <si>
    <t>Column4</t>
  </si>
  <si>
    <t>Column5</t>
  </si>
  <si>
    <t>Efficiency (Watts/TH)</t>
  </si>
  <si>
    <t>MINER EFFICIENCY CHARTS:</t>
  </si>
  <si>
    <t>BITCOIN MINING RESILIENCY</t>
  </si>
  <si>
    <t>Miner Name</t>
  </si>
  <si>
    <t>Relevant Inputs</t>
  </si>
  <si>
    <t>TH/s to mine 1 BTC per day</t>
  </si>
  <si>
    <t>BTC Hashing Power (TH/s)</t>
  </si>
  <si>
    <t>Value</t>
  </si>
  <si>
    <t>Year/Month</t>
  </si>
  <si>
    <t>0,18 $/MWh</t>
  </si>
  <si>
    <t>0,2 $/MWh</t>
  </si>
  <si>
    <t>0,24 $/MWh</t>
  </si>
  <si>
    <t>0,26 $/MWh</t>
  </si>
  <si>
    <t>0,28 $/MWh</t>
  </si>
  <si>
    <t>0,30 $/MWh</t>
  </si>
  <si>
    <t>0,32 $/MWh</t>
  </si>
  <si>
    <t>0,34 $/MWh</t>
  </si>
  <si>
    <t>0,36 $/MWh</t>
  </si>
  <si>
    <t>0,38 $/MWh</t>
  </si>
  <si>
    <t>0,22 $/MWh</t>
  </si>
  <si>
    <t>-&gt; Full OPEX cost for calculation purpose</t>
  </si>
  <si>
    <t>Hashing Capacity TH/s</t>
  </si>
  <si>
    <t>Do not update miner characteristics on this table, use Inputs sheets</t>
  </si>
  <si>
    <t>Variables allowed to change</t>
  </si>
  <si>
    <t>OBS: Analises based on worst case scenario since a drop on bitcoin price will reduce network difficulty which ultimately would adjust  BTC production costs to lower values</t>
  </si>
  <si>
    <t>Land costs</t>
  </si>
  <si>
    <t>Power allocation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</si>
</sst>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000_);_(* \(#,##0.0000\);_(* &quot;-&quot;??_);_(@_)"/>
    <numFmt numFmtId="167" formatCode="0.0%"/>
    <numFmt numFmtId="168" formatCode="[$USD]\ #,##0.00"/>
    <numFmt numFmtId="169" formatCode="_ * #,##0_ ;_ * \-#,##0_ ;_ * &quot;-&quot;??_ ;_ @_ 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FF0000"/>
      <name val="Arial"/>
      <family val="2"/>
    </font>
    <font>
      <sz val="9"/>
      <color rgb="FF000000"/>
      <name val="Segoe UI"/>
      <family val="2"/>
    </font>
    <font>
      <b/>
      <sz val="9"/>
      <color rgb="FF000000"/>
      <name val="Segoe UI"/>
      <family val="2"/>
    </font>
    <font>
      <sz val="9"/>
      <color indexed="81"/>
      <name val="Segoe UI"/>
      <family val="2"/>
    </font>
    <font>
      <b/>
      <sz val="12"/>
      <color rgb="FF000000"/>
      <name val="Arial"/>
      <family val="2"/>
    </font>
    <font>
      <b/>
      <sz val="10"/>
      <color rgb="FFFF0000"/>
      <name val="Arial"/>
      <family val="2"/>
    </font>
    <font>
      <sz val="8"/>
      <color rgb="FF000000"/>
      <name val="Segoe UI"/>
      <family val="2"/>
    </font>
    <font>
      <i/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i/>
      <sz val="9"/>
      <color rgb="FF000000"/>
      <name val="Arial"/>
      <family val="2"/>
    </font>
    <font>
      <i/>
      <sz val="8"/>
      <color rgb="FF000000"/>
      <name val="Arial"/>
      <family val="2"/>
    </font>
    <font>
      <b/>
      <i/>
      <sz val="9"/>
      <color rgb="FF000000"/>
      <name val="Arial"/>
      <family val="2"/>
    </font>
    <font>
      <b/>
      <i/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164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178">
    <xf numFmtId="0" fontId="0" fillId="0" borderId="0" xfId="0"/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5" fillId="3" borderId="6" xfId="0" applyFont="1" applyFill="1" applyBorder="1"/>
    <xf numFmtId="0" fontId="6" fillId="3" borderId="9" xfId="0" applyFont="1" applyFill="1" applyBorder="1"/>
    <xf numFmtId="0" fontId="6" fillId="3" borderId="15" xfId="0" applyFont="1" applyFill="1" applyBorder="1"/>
    <xf numFmtId="0" fontId="6" fillId="3" borderId="17" xfId="0" applyFont="1" applyFill="1" applyBorder="1"/>
    <xf numFmtId="0" fontId="6" fillId="3" borderId="20" xfId="0" applyFont="1" applyFill="1" applyBorder="1"/>
    <xf numFmtId="0" fontId="6" fillId="3" borderId="22" xfId="0" applyFont="1" applyFill="1" applyBorder="1"/>
    <xf numFmtId="0" fontId="6" fillId="3" borderId="11" xfId="0" applyFont="1" applyFill="1" applyBorder="1"/>
    <xf numFmtId="0" fontId="6" fillId="3" borderId="4" xfId="0" applyFont="1" applyFill="1" applyBorder="1"/>
    <xf numFmtId="0" fontId="6" fillId="3" borderId="0" xfId="0" applyFont="1" applyFill="1"/>
    <xf numFmtId="164" fontId="0" fillId="3" borderId="18" xfId="4" applyFont="1" applyFill="1" applyBorder="1"/>
    <xf numFmtId="0" fontId="5" fillId="3" borderId="6" xfId="0" applyFont="1" applyFill="1" applyBorder="1" applyAlignment="1">
      <alignment horizontal="center" vertical="center"/>
    </xf>
    <xf numFmtId="164" fontId="0" fillId="3" borderId="18" xfId="0" applyNumberFormat="1" applyFill="1" applyBorder="1"/>
    <xf numFmtId="164" fontId="0" fillId="3" borderId="19" xfId="0" applyNumberFormat="1" applyFill="1" applyBorder="1"/>
    <xf numFmtId="0" fontId="0" fillId="4" borderId="16" xfId="0" applyFill="1" applyBorder="1"/>
    <xf numFmtId="0" fontId="0" fillId="4" borderId="18" xfId="0" applyFill="1" applyBorder="1"/>
    <xf numFmtId="0" fontId="6" fillId="4" borderId="18" xfId="0" applyFont="1" applyFill="1" applyBorder="1"/>
    <xf numFmtId="0" fontId="6" fillId="4" borderId="21" xfId="0" applyFont="1" applyFill="1" applyBorder="1"/>
    <xf numFmtId="0" fontId="6" fillId="4" borderId="10" xfId="0" applyFont="1" applyFill="1" applyBorder="1"/>
    <xf numFmtId="0" fontId="4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164" fontId="0" fillId="3" borderId="18" xfId="1" applyFont="1" applyFill="1" applyBorder="1"/>
    <xf numFmtId="37" fontId="0" fillId="3" borderId="18" xfId="0" applyNumberFormat="1" applyFill="1" applyBorder="1"/>
    <xf numFmtId="164" fontId="0" fillId="3" borderId="19" xfId="1" applyFont="1" applyFill="1" applyBorder="1"/>
    <xf numFmtId="164" fontId="1" fillId="2" borderId="18" xfId="3" applyNumberFormat="1" applyBorder="1"/>
    <xf numFmtId="165" fontId="6" fillId="3" borderId="0" xfId="6" applyFill="1"/>
    <xf numFmtId="17" fontId="0" fillId="3" borderId="0" xfId="0" applyNumberFormat="1" applyFill="1"/>
    <xf numFmtId="0" fontId="0" fillId="3" borderId="0" xfId="0" applyFill="1"/>
    <xf numFmtId="0" fontId="6" fillId="3" borderId="0" xfId="0" applyFont="1" applyFill="1"/>
    <xf numFmtId="164" fontId="0" fillId="3" borderId="18" xfId="4" applyFont="1" applyFill="1" applyBorder="1"/>
    <xf numFmtId="164" fontId="0" fillId="3" borderId="18" xfId="0" applyNumberFormat="1" applyFill="1" applyBorder="1"/>
    <xf numFmtId="0" fontId="6" fillId="3" borderId="7" xfId="0" applyFont="1" applyFill="1" applyBorder="1"/>
    <xf numFmtId="165" fontId="0" fillId="3" borderId="0" xfId="6" applyFont="1" applyFill="1"/>
    <xf numFmtId="165" fontId="0" fillId="0" borderId="0" xfId="0" applyNumberFormat="1"/>
    <xf numFmtId="4" fontId="6" fillId="3" borderId="17" xfId="0" applyNumberFormat="1" applyFont="1" applyFill="1" applyBorder="1"/>
    <xf numFmtId="4" fontId="0" fillId="5" borderId="18" xfId="0" applyNumberFormat="1" applyFill="1" applyBorder="1"/>
    <xf numFmtId="4" fontId="6" fillId="3" borderId="9" xfId="0" applyNumberFormat="1" applyFont="1" applyFill="1" applyBorder="1"/>
    <xf numFmtId="4" fontId="0" fillId="5" borderId="10" xfId="0" applyNumberFormat="1" applyFill="1" applyBorder="1"/>
    <xf numFmtId="4" fontId="6" fillId="3" borderId="0" xfId="0" applyNumberFormat="1" applyFont="1" applyFill="1"/>
    <xf numFmtId="4" fontId="0" fillId="0" borderId="0" xfId="0" applyNumberFormat="1"/>
    <xf numFmtId="37" fontId="1" fillId="2" borderId="18" xfId="3" applyNumberFormat="1" applyBorder="1"/>
    <xf numFmtId="0" fontId="2" fillId="2" borderId="18" xfId="3" applyFont="1" applyBorder="1" applyAlignment="1">
      <alignment horizontal="center"/>
    </xf>
    <xf numFmtId="168" fontId="0" fillId="5" borderId="18" xfId="0" applyNumberFormat="1" applyFill="1" applyBorder="1"/>
    <xf numFmtId="168" fontId="0" fillId="3" borderId="18" xfId="0" applyNumberFormat="1" applyFill="1" applyBorder="1"/>
    <xf numFmtId="168" fontId="6" fillId="5" borderId="18" xfId="0" applyNumberFormat="1" applyFont="1" applyFill="1" applyBorder="1"/>
    <xf numFmtId="168" fontId="6" fillId="5" borderId="10" xfId="0" applyNumberFormat="1" applyFont="1" applyFill="1" applyBorder="1"/>
    <xf numFmtId="168" fontId="0" fillId="3" borderId="10" xfId="0" applyNumberFormat="1" applyFill="1" applyBorder="1"/>
    <xf numFmtId="0" fontId="6" fillId="3" borderId="30" xfId="0" applyFont="1" applyFill="1" applyBorder="1"/>
    <xf numFmtId="0" fontId="6" fillId="3" borderId="19" xfId="0" applyFont="1" applyFill="1" applyBorder="1"/>
    <xf numFmtId="2" fontId="1" fillId="2" borderId="18" xfId="3" applyNumberFormat="1" applyBorder="1"/>
    <xf numFmtId="0" fontId="3" fillId="4" borderId="5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167" fontId="3" fillId="4" borderId="29" xfId="2" applyNumberFormat="1" applyFont="1" applyFill="1" applyBorder="1" applyAlignment="1">
      <alignment horizontal="center"/>
    </xf>
    <xf numFmtId="164" fontId="3" fillId="4" borderId="29" xfId="1" applyFont="1" applyFill="1" applyBorder="1" applyAlignment="1">
      <alignment horizontal="center"/>
    </xf>
    <xf numFmtId="9" fontId="3" fillId="4" borderId="31" xfId="2" applyFont="1" applyFill="1" applyBorder="1" applyAlignment="1">
      <alignment horizontal="center"/>
    </xf>
    <xf numFmtId="168" fontId="0" fillId="3" borderId="0" xfId="0" applyNumberFormat="1" applyFill="1"/>
    <xf numFmtId="168" fontId="0" fillId="0" borderId="0" xfId="0" applyNumberFormat="1"/>
    <xf numFmtId="2" fontId="1" fillId="2" borderId="10" xfId="3" applyNumberFormat="1" applyBorder="1"/>
    <xf numFmtId="164" fontId="2" fillId="2" borderId="18" xfId="3" applyNumberFormat="1" applyFont="1" applyBorder="1"/>
    <xf numFmtId="164" fontId="1" fillId="2" borderId="10" xfId="3" applyNumberFormat="1" applyBorder="1"/>
    <xf numFmtId="0" fontId="0" fillId="4" borderId="35" xfId="0" applyFill="1" applyBorder="1"/>
    <xf numFmtId="2" fontId="0" fillId="3" borderId="0" xfId="0" applyNumberFormat="1" applyFill="1" applyAlignment="1">
      <alignment horizontal="left" wrapText="1"/>
    </xf>
    <xf numFmtId="0" fontId="5" fillId="3" borderId="17" xfId="0" applyFont="1" applyFill="1" applyBorder="1"/>
    <xf numFmtId="0" fontId="5" fillId="5" borderId="18" xfId="0" applyFont="1" applyFill="1" applyBorder="1"/>
    <xf numFmtId="0" fontId="5" fillId="3" borderId="18" xfId="0" applyFont="1" applyFill="1" applyBorder="1"/>
    <xf numFmtId="0" fontId="5" fillId="3" borderId="19" xfId="0" applyFont="1" applyFill="1" applyBorder="1"/>
    <xf numFmtId="4" fontId="0" fillId="3" borderId="19" xfId="0" applyNumberFormat="1" applyFill="1" applyBorder="1"/>
    <xf numFmtId="4" fontId="0" fillId="3" borderId="11" xfId="0" applyNumberFormat="1" applyFill="1" applyBorder="1"/>
    <xf numFmtId="0" fontId="6" fillId="3" borderId="0" xfId="0" applyFont="1" applyFill="1" applyAlignment="1">
      <alignment wrapText="1"/>
    </xf>
    <xf numFmtId="0" fontId="12" fillId="3" borderId="0" xfId="0" applyFont="1" applyFill="1" applyAlignment="1"/>
    <xf numFmtId="2" fontId="6" fillId="3" borderId="0" xfId="0" applyNumberFormat="1" applyFont="1" applyFill="1" applyAlignment="1">
      <alignment vertical="top" wrapText="1"/>
    </xf>
    <xf numFmtId="0" fontId="6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6" fillId="3" borderId="37" xfId="0" applyFont="1" applyFill="1" applyBorder="1"/>
    <xf numFmtId="0" fontId="6" fillId="3" borderId="38" xfId="0" applyFont="1" applyFill="1" applyBorder="1"/>
    <xf numFmtId="0" fontId="14" fillId="3" borderId="18" xfId="0" applyFont="1" applyFill="1" applyBorder="1"/>
    <xf numFmtId="0" fontId="0" fillId="11" borderId="18" xfId="0" applyFill="1" applyBorder="1"/>
    <xf numFmtId="167" fontId="0" fillId="11" borderId="18" xfId="2" applyNumberFormat="1" applyFont="1" applyFill="1" applyBorder="1"/>
    <xf numFmtId="0" fontId="6" fillId="3" borderId="39" xfId="0" applyFont="1" applyFill="1" applyBorder="1"/>
    <xf numFmtId="166" fontId="0" fillId="3" borderId="39" xfId="0" applyNumberFormat="1" applyFill="1" applyBorder="1"/>
    <xf numFmtId="3" fontId="1" fillId="2" borderId="18" xfId="3" applyNumberFormat="1" applyBorder="1"/>
    <xf numFmtId="0" fontId="6" fillId="3" borderId="12" xfId="0" applyFont="1" applyFill="1" applyBorder="1"/>
    <xf numFmtId="164" fontId="0" fillId="3" borderId="10" xfId="1" applyFont="1" applyFill="1" applyBorder="1"/>
    <xf numFmtId="164" fontId="0" fillId="3" borderId="10" xfId="4" applyFont="1" applyFill="1" applyBorder="1"/>
    <xf numFmtId="37" fontId="0" fillId="3" borderId="10" xfId="0" applyNumberFormat="1" applyFill="1" applyBorder="1"/>
    <xf numFmtId="164" fontId="0" fillId="3" borderId="11" xfId="1" applyFont="1" applyFill="1" applyBorder="1"/>
    <xf numFmtId="0" fontId="14" fillId="3" borderId="25" xfId="0" applyFont="1" applyFill="1" applyBorder="1" applyAlignment="1">
      <alignment wrapText="1"/>
    </xf>
    <xf numFmtId="0" fontId="14" fillId="3" borderId="26" xfId="0" applyFont="1" applyFill="1" applyBorder="1" applyAlignment="1">
      <alignment wrapText="1"/>
    </xf>
    <xf numFmtId="0" fontId="14" fillId="3" borderId="40" xfId="0" applyFont="1" applyFill="1" applyBorder="1" applyAlignment="1">
      <alignment wrapText="1"/>
    </xf>
    <xf numFmtId="0" fontId="4" fillId="4" borderId="41" xfId="0" applyFont="1" applyFill="1" applyBorder="1" applyAlignment="1">
      <alignment horizontal="center"/>
    </xf>
    <xf numFmtId="0" fontId="11" fillId="4" borderId="41" xfId="0" applyFont="1" applyFill="1" applyBorder="1" applyAlignment="1">
      <alignment horizontal="center"/>
    </xf>
    <xf numFmtId="0" fontId="3" fillId="4" borderId="41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167" fontId="3" fillId="4" borderId="24" xfId="2" applyNumberFormat="1" applyFont="1" applyFill="1" applyBorder="1" applyAlignment="1">
      <alignment horizontal="center"/>
    </xf>
    <xf numFmtId="164" fontId="3" fillId="4" borderId="24" xfId="1" applyFont="1" applyFill="1" applyBorder="1" applyAlignment="1">
      <alignment horizontal="center"/>
    </xf>
    <xf numFmtId="9" fontId="3" fillId="4" borderId="24" xfId="2" applyFont="1" applyFill="1" applyBorder="1" applyAlignment="1">
      <alignment horizontal="center"/>
    </xf>
    <xf numFmtId="0" fontId="6" fillId="3" borderId="18" xfId="0" applyFont="1" applyFill="1" applyBorder="1"/>
    <xf numFmtId="0" fontId="6" fillId="0" borderId="18" xfId="0" applyFont="1" applyBorder="1" applyAlignment="1">
      <alignment horizontal="right"/>
    </xf>
    <xf numFmtId="0" fontId="5" fillId="0" borderId="18" xfId="0" applyFont="1" applyBorder="1"/>
    <xf numFmtId="0" fontId="14" fillId="0" borderId="18" xfId="0" applyFont="1" applyBorder="1"/>
    <xf numFmtId="0" fontId="2" fillId="2" borderId="42" xfId="3" applyFont="1" applyBorder="1" applyAlignment="1">
      <alignment horizontal="center"/>
    </xf>
    <xf numFmtId="4" fontId="1" fillId="2" borderId="42" xfId="3" applyNumberFormat="1" applyBorder="1"/>
    <xf numFmtId="4" fontId="1" fillId="2" borderId="43" xfId="3" applyNumberFormat="1" applyBorder="1"/>
    <xf numFmtId="164" fontId="2" fillId="2" borderId="38" xfId="3" applyNumberFormat="1" applyFont="1" applyBorder="1"/>
    <xf numFmtId="164" fontId="1" fillId="2" borderId="38" xfId="3" applyNumberFormat="1" applyBorder="1"/>
    <xf numFmtId="164" fontId="1" fillId="2" borderId="44" xfId="3" applyNumberFormat="1" applyBorder="1"/>
    <xf numFmtId="0" fontId="2" fillId="2" borderId="45" xfId="3" applyFont="1" applyBorder="1" applyAlignment="1">
      <alignment horizontal="center"/>
    </xf>
    <xf numFmtId="0" fontId="2" fillId="2" borderId="46" xfId="3" applyFont="1" applyBorder="1" applyAlignment="1">
      <alignment horizontal="center"/>
    </xf>
    <xf numFmtId="0" fontId="0" fillId="3" borderId="18" xfId="0" applyFill="1" applyBorder="1"/>
    <xf numFmtId="4" fontId="0" fillId="3" borderId="18" xfId="0" applyNumberFormat="1" applyFill="1" applyBorder="1"/>
    <xf numFmtId="43" fontId="0" fillId="3" borderId="0" xfId="0" applyNumberFormat="1" applyFill="1"/>
    <xf numFmtId="169" fontId="0" fillId="3" borderId="0" xfId="0" applyNumberFormat="1" applyFill="1"/>
    <xf numFmtId="0" fontId="6" fillId="7" borderId="18" xfId="0" applyFont="1" applyFill="1" applyBorder="1"/>
    <xf numFmtId="0" fontId="5" fillId="16" borderId="18" xfId="0" applyFont="1" applyFill="1" applyBorder="1"/>
    <xf numFmtId="4" fontId="5" fillId="3" borderId="18" xfId="0" applyNumberFormat="1" applyFont="1" applyFill="1" applyBorder="1"/>
    <xf numFmtId="0" fontId="19" fillId="3" borderId="0" xfId="0" applyFont="1" applyFill="1"/>
    <xf numFmtId="0" fontId="18" fillId="3" borderId="0" xfId="0" quotePrefix="1" applyFont="1" applyFill="1"/>
    <xf numFmtId="43" fontId="0" fillId="3" borderId="18" xfId="7" applyFont="1" applyFill="1" applyBorder="1"/>
    <xf numFmtId="169" fontId="0" fillId="3" borderId="18" xfId="7" applyNumberFormat="1" applyFont="1" applyFill="1" applyBorder="1"/>
    <xf numFmtId="17" fontId="0" fillId="3" borderId="18" xfId="0" applyNumberFormat="1" applyFill="1" applyBorder="1"/>
    <xf numFmtId="0" fontId="5" fillId="17" borderId="18" xfId="0" applyFont="1" applyFill="1" applyBorder="1"/>
    <xf numFmtId="0" fontId="20" fillId="3" borderId="0" xfId="0" applyFont="1" applyFill="1"/>
    <xf numFmtId="0" fontId="14" fillId="3" borderId="0" xfId="0" applyFont="1" applyFill="1"/>
    <xf numFmtId="0" fontId="7" fillId="6" borderId="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3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4" fillId="3" borderId="0" xfId="0" applyFont="1" applyFill="1" applyAlignment="1">
      <alignment horizontal="left" vertical="top" wrapText="1"/>
    </xf>
    <xf numFmtId="0" fontId="14" fillId="3" borderId="0" xfId="0" applyFont="1" applyFill="1" applyAlignment="1">
      <alignment horizontal="left" vertical="top"/>
    </xf>
    <xf numFmtId="2" fontId="5" fillId="3" borderId="23" xfId="0" applyNumberFormat="1" applyFont="1" applyFill="1" applyBorder="1" applyAlignment="1">
      <alignment horizontal="center" vertical="center"/>
    </xf>
    <xf numFmtId="2" fontId="5" fillId="3" borderId="24" xfId="0" applyNumberFormat="1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8" fillId="3" borderId="45" xfId="0" applyFont="1" applyFill="1" applyBorder="1" applyAlignment="1">
      <alignment horizontal="left"/>
    </xf>
    <xf numFmtId="0" fontId="5" fillId="3" borderId="12" xfId="0" applyFont="1" applyFill="1" applyBorder="1" applyAlignment="1">
      <alignment horizontal="center"/>
    </xf>
    <xf numFmtId="0" fontId="7" fillId="6" borderId="32" xfId="0" applyFont="1" applyFill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7" fillId="6" borderId="34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21" fillId="3" borderId="18" xfId="0" applyFont="1" applyFill="1" applyBorder="1"/>
    <xf numFmtId="168" fontId="0" fillId="18" borderId="18" xfId="0" applyNumberFormat="1" applyFill="1" applyBorder="1"/>
  </cellXfs>
  <cellStyles count="8">
    <cellStyle name="20% - Accent4" xfId="3" builtinId="42"/>
    <cellStyle name="Comma" xfId="7" builtinId="3"/>
    <cellStyle name="Currency" xfId="1" builtinId="4"/>
    <cellStyle name="Moeda 2" xfId="4" xr:uid="{5C7D9CA6-7282-44F1-A902-463371E218C4}"/>
    <cellStyle name="Normal" xfId="0" builtinId="0"/>
    <cellStyle name="Percent" xfId="2" builtinId="5"/>
    <cellStyle name="Porcentagem 2" xfId="5" xr:uid="{2DFB47F2-E0F1-4D95-B295-F72FA6F21EB1}"/>
    <cellStyle name="Vírgula 2" xfId="6" xr:uid="{1D9F8B82-2D90-4CB9-A9C5-9AAD546B5AC7}"/>
  </cellStyles>
  <dxfs count="11">
    <dxf>
      <numFmt numFmtId="164" formatCode="_(&quot;$&quot;* #,##0.00_);_(&quot;$&quot;* \(#,##0.00\);_(&quot;$&quot;* &quot;-&quot;??_);_(@_)"/>
      <border diagonalUp="0" diagonalDown="0">
        <left style="thin">
          <color indexed="64"/>
        </left>
        <right/>
        <top style="thin">
          <color indexed="64"/>
        </top>
        <bottom style="medium">
          <color indexed="64"/>
        </bottom>
        <vertical/>
        <horizontal/>
      </border>
    </dxf>
    <dxf>
      <numFmt numFmtId="16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5" formatCode="#,##0;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/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Miners Efficiency vs Costs</a:t>
            </a:r>
          </a:p>
        </c:rich>
      </c:tx>
      <c:layout>
        <c:manualLayout>
          <c:xMode val="edge"/>
          <c:yMode val="edge"/>
          <c:x val="0.33371870552147337"/>
          <c:y val="9.89010817857433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9.8737146794487904E-2"/>
          <c:y val="8.7461523325859089E-2"/>
          <c:w val="0.78862708556949301"/>
          <c:h val="0.809736383190034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'Miner Performance &amp; Resilience'!$B$5</c:f>
              <c:strCache>
                <c:ptCount val="1"/>
                <c:pt idx="0">
                  <c:v>S17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4999999999999997E-2"/>
                  <c:y val="8.163265306122455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08-4463-957F-48406DF75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'Miner Performance &amp; Resilience'!$C$5</c:f>
              <c:numCache>
                <c:formatCode>General</c:formatCode>
                <c:ptCount val="1"/>
                <c:pt idx="0">
                  <c:v>21</c:v>
                </c:pt>
              </c:numCache>
            </c:numRef>
          </c:xVal>
          <c:yVal>
            <c:numRef>
              <c:f>'Miner Performance &amp; Resilience'!$D$5</c:f>
              <c:numCache>
                <c:formatCode>#,##0.00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8-4463-957F-48406DF75DCC}"/>
            </c:ext>
          </c:extLst>
        </c:ser>
        <c:ser>
          <c:idx val="1"/>
          <c:order val="1"/>
          <c:tx>
            <c:strRef>
              <c:f>'Miner Performance &amp; Resilience'!$B$6</c:f>
              <c:strCache>
                <c:ptCount val="1"/>
                <c:pt idx="0">
                  <c:v>T17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0932250656167902E-2"/>
                  <c:y val="-5.439632545931758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08-4463-957F-48406DF75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'Miner Performance &amp; Resilience'!$C$6</c:f>
              <c:numCache>
                <c:formatCode>General</c:formatCode>
                <c:ptCount val="1"/>
                <c:pt idx="0">
                  <c:v>17</c:v>
                </c:pt>
              </c:numCache>
            </c:numRef>
          </c:xVal>
          <c:yVal>
            <c:numRef>
              <c:f>'Miner Performance &amp; Resilience'!$D$6</c:f>
              <c:numCache>
                <c:formatCode>#,##0.00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8-4463-957F-48406DF75DCC}"/>
            </c:ext>
          </c:extLst>
        </c:ser>
        <c:ser>
          <c:idx val="2"/>
          <c:order val="2"/>
          <c:tx>
            <c:strRef>
              <c:f>'Miner Performance &amp; Resilience'!$B$7</c:f>
              <c:strCache>
                <c:ptCount val="1"/>
                <c:pt idx="0">
                  <c:v>S9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916666666666665E-2"/>
                  <c:y val="-3.061224489795921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408-4463-957F-48406DF75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'Miner Performance &amp; Resilience'!$C$7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'Miner Performance &amp; Resilience'!$D$7</c:f>
              <c:numCache>
                <c:formatCode>#,##0.00</c:formatCode>
                <c:ptCount val="1"/>
                <c:pt idx="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08-4463-957F-48406DF75DCC}"/>
            </c:ext>
          </c:extLst>
        </c:ser>
        <c:ser>
          <c:idx val="3"/>
          <c:order val="3"/>
          <c:tx>
            <c:strRef>
              <c:f>'Miner Performance &amp; Resilience'!$B$8</c:f>
              <c:strCache>
                <c:ptCount val="1"/>
                <c:pt idx="0">
                  <c:v>S19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250000000000153E-2"/>
                  <c:y val="8.503401360544217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08-4463-957F-48406DF75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'Miner Performance &amp; Resilience'!$C$8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'Miner Performance &amp; Resilience'!$D$8</c:f>
              <c:numCache>
                <c:formatCode>#,##0.00</c:formatCode>
                <c:ptCount val="1"/>
                <c:pt idx="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08-4463-957F-48406DF75DCC}"/>
            </c:ext>
          </c:extLst>
        </c:ser>
        <c:ser>
          <c:idx val="4"/>
          <c:order val="4"/>
          <c:tx>
            <c:strRef>
              <c:f>'Miner Performance &amp; Resilience'!$B$9</c:f>
              <c:strCache>
                <c:ptCount val="1"/>
                <c:pt idx="0">
                  <c:v>M20s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250000000000072E-2"/>
                  <c:y val="-7.482993197278911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08-4463-957F-48406DF75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'Miner Performance &amp; Resilience'!$C$9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'Miner Performance &amp; Resilience'!$D$9</c:f>
              <c:numCache>
                <c:formatCode>#,##0.00</c:formatCode>
                <c:ptCount val="1"/>
                <c:pt idx="0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08-4463-957F-48406DF75DCC}"/>
            </c:ext>
          </c:extLst>
        </c:ser>
        <c:ser>
          <c:idx val="5"/>
          <c:order val="5"/>
          <c:tx>
            <c:strRef>
              <c:f>'Miner Performance &amp; Resilience'!$B$10</c:f>
              <c:strCache>
                <c:ptCount val="1"/>
                <c:pt idx="0">
                  <c:v>M31s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125E-2"/>
                  <c:y val="-7.142857142857142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08-4463-957F-48406DF75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'Miner Performance &amp; Resilience'!$C$10</c:f>
              <c:numCache>
                <c:formatCode>General</c:formatCode>
                <c:ptCount val="1"/>
                <c:pt idx="0">
                  <c:v>22</c:v>
                </c:pt>
              </c:numCache>
            </c:numRef>
          </c:xVal>
          <c:yVal>
            <c:numRef>
              <c:f>'Miner Performance &amp; Resilience'!$D$10</c:f>
              <c:numCache>
                <c:formatCode>#,##0.00</c:formatCode>
                <c:ptCount val="1"/>
                <c:pt idx="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08-4463-957F-48406DF75DCC}"/>
            </c:ext>
          </c:extLst>
        </c:ser>
        <c:ser>
          <c:idx val="6"/>
          <c:order val="6"/>
          <c:tx>
            <c:strRef>
              <c:f>'Miner Performance &amp; Resilience'!$B$11</c:f>
              <c:strCache>
                <c:ptCount val="1"/>
                <c:pt idx="0">
                  <c:v>M30s+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lumMod val="60000"/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500000000000001E-2"/>
                  <c:y val="7.823129251700680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408-4463-957F-48406DF75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'Miner Performance &amp; Resilience'!$C$11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'Miner Performance &amp; Resilience'!$D$11</c:f>
              <c:numCache>
                <c:formatCode>#,##0.00</c:formatCode>
                <c:ptCount val="1"/>
                <c:pt idx="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08-4463-957F-48406DF75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96320"/>
        <c:axId val="568995664"/>
      </c:scatterChart>
      <c:valAx>
        <c:axId val="5689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Miner Cost $ per TH/s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8995664"/>
        <c:crosses val="autoZero"/>
        <c:crossBetween val="midCat"/>
      </c:valAx>
      <c:valAx>
        <c:axId val="56899566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Miner efficiency (W/TH)</a:t>
                </a:r>
              </a:p>
            </c:rich>
          </c:tx>
          <c:layout>
            <c:manualLayout>
              <c:xMode val="edge"/>
              <c:yMode val="edge"/>
              <c:x val="1.9950025624045211E-2"/>
              <c:y val="0.32840117186100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89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Mining</a:t>
            </a:r>
            <a:r>
              <a:rPr lang="en-US" baseline="0"/>
              <a:t> Resillience: BTC Production Cost (USD)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'Miner Performance &amp; Resilience'!$B$31</c:f>
              <c:strCache>
                <c:ptCount val="1"/>
                <c:pt idx="0">
                  <c:v>S17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'Miner Performance &amp; Resilience'!$E$30:$O$30</c:f>
              <c:strCache>
                <c:ptCount val="11"/>
                <c:pt idx="0">
                  <c:v>0,18 $/MWh</c:v>
                </c:pt>
                <c:pt idx="1">
                  <c:v>0,2 $/MWh</c:v>
                </c:pt>
                <c:pt idx="2">
                  <c:v>0,22 $/MWh</c:v>
                </c:pt>
                <c:pt idx="3">
                  <c:v>0,24 $/MWh</c:v>
                </c:pt>
                <c:pt idx="4">
                  <c:v>0,26 $/MWh</c:v>
                </c:pt>
                <c:pt idx="5">
                  <c:v>0,28 $/MWh</c:v>
                </c:pt>
                <c:pt idx="6">
                  <c:v>0,30 $/MWh</c:v>
                </c:pt>
                <c:pt idx="7">
                  <c:v>0,32 $/MWh</c:v>
                </c:pt>
                <c:pt idx="8">
                  <c:v>0,34 $/MWh</c:v>
                </c:pt>
                <c:pt idx="9">
                  <c:v>0,36 $/MWh</c:v>
                </c:pt>
                <c:pt idx="10">
                  <c:v>0,38 $/MWh</c:v>
                </c:pt>
              </c:strCache>
            </c:strRef>
          </c:cat>
          <c:val>
            <c:numRef>
              <c:f>'Miner Performance &amp; Resilience'!$E$31:$O$31</c:f>
              <c:numCache>
                <c:formatCode>[$USD]\ #,##0.00</c:formatCode>
                <c:ptCount val="11"/>
                <c:pt idx="0">
                  <c:v>2948.7360000000003</c:v>
                </c:pt>
                <c:pt idx="1">
                  <c:v>3184.6348800000005</c:v>
                </c:pt>
                <c:pt idx="2">
                  <c:v>3420.5337600000003</c:v>
                </c:pt>
                <c:pt idx="3">
                  <c:v>3656.43264</c:v>
                </c:pt>
                <c:pt idx="4">
                  <c:v>3892.3315200000006</c:v>
                </c:pt>
                <c:pt idx="5">
                  <c:v>4128.2304000000004</c:v>
                </c:pt>
                <c:pt idx="6">
                  <c:v>4364.1292800000001</c:v>
                </c:pt>
                <c:pt idx="7">
                  <c:v>4600.0281599999998</c:v>
                </c:pt>
                <c:pt idx="8">
                  <c:v>4835.9270400000005</c:v>
                </c:pt>
                <c:pt idx="9">
                  <c:v>5071.8259199999993</c:v>
                </c:pt>
                <c:pt idx="10">
                  <c:v>5307.7248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F-4F1F-8F03-95190CA675C8}"/>
            </c:ext>
          </c:extLst>
        </c:ser>
        <c:ser>
          <c:idx val="1"/>
          <c:order val="1"/>
          <c:tx>
            <c:strRef>
              <c:f>'Miner Performance &amp; Resilience'!$B$32</c:f>
              <c:strCache>
                <c:ptCount val="1"/>
                <c:pt idx="0">
                  <c:v>T17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'Miner Performance &amp; Resilience'!$E$30:$O$30</c:f>
              <c:strCache>
                <c:ptCount val="11"/>
                <c:pt idx="0">
                  <c:v>0,18 $/MWh</c:v>
                </c:pt>
                <c:pt idx="1">
                  <c:v>0,2 $/MWh</c:v>
                </c:pt>
                <c:pt idx="2">
                  <c:v>0,22 $/MWh</c:v>
                </c:pt>
                <c:pt idx="3">
                  <c:v>0,24 $/MWh</c:v>
                </c:pt>
                <c:pt idx="4">
                  <c:v>0,26 $/MWh</c:v>
                </c:pt>
                <c:pt idx="5">
                  <c:v>0,28 $/MWh</c:v>
                </c:pt>
                <c:pt idx="6">
                  <c:v>0,30 $/MWh</c:v>
                </c:pt>
                <c:pt idx="7">
                  <c:v>0,32 $/MWh</c:v>
                </c:pt>
                <c:pt idx="8">
                  <c:v>0,34 $/MWh</c:v>
                </c:pt>
                <c:pt idx="9">
                  <c:v>0,36 $/MWh</c:v>
                </c:pt>
                <c:pt idx="10">
                  <c:v>0,38 $/MWh</c:v>
                </c:pt>
              </c:strCache>
            </c:strRef>
          </c:cat>
          <c:val>
            <c:numRef>
              <c:f>'Miner Performance &amp; Resilience'!$E$32:$O$32</c:f>
              <c:numCache>
                <c:formatCode>[$USD]\ #,##0.00</c:formatCode>
                <c:ptCount val="11"/>
                <c:pt idx="0">
                  <c:v>3685.92</c:v>
                </c:pt>
                <c:pt idx="1">
                  <c:v>3980.7936</c:v>
                </c:pt>
                <c:pt idx="2">
                  <c:v>4275.6671999999999</c:v>
                </c:pt>
                <c:pt idx="3">
                  <c:v>4570.5407999999998</c:v>
                </c:pt>
                <c:pt idx="4">
                  <c:v>4865.4144000000006</c:v>
                </c:pt>
                <c:pt idx="5">
                  <c:v>5160.2880000000005</c:v>
                </c:pt>
                <c:pt idx="6">
                  <c:v>5455.1615999999995</c:v>
                </c:pt>
                <c:pt idx="7">
                  <c:v>5750.0352000000003</c:v>
                </c:pt>
                <c:pt idx="8">
                  <c:v>6044.9088000000002</c:v>
                </c:pt>
                <c:pt idx="9">
                  <c:v>6339.7823999999982</c:v>
                </c:pt>
                <c:pt idx="10">
                  <c:v>6634.655999999999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F-4F1F-8F03-95190CA675C8}"/>
            </c:ext>
          </c:extLst>
        </c:ser>
        <c:ser>
          <c:idx val="2"/>
          <c:order val="2"/>
          <c:tx>
            <c:strRef>
              <c:f>'Miner Performance &amp; Resilience'!$B$33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'Miner Performance &amp; Resilience'!$E$30:$O$30</c:f>
              <c:strCache>
                <c:ptCount val="11"/>
                <c:pt idx="0">
                  <c:v>0,18 $/MWh</c:v>
                </c:pt>
                <c:pt idx="1">
                  <c:v>0,2 $/MWh</c:v>
                </c:pt>
                <c:pt idx="2">
                  <c:v>0,22 $/MWh</c:v>
                </c:pt>
                <c:pt idx="3">
                  <c:v>0,24 $/MWh</c:v>
                </c:pt>
                <c:pt idx="4">
                  <c:v>0,26 $/MWh</c:v>
                </c:pt>
                <c:pt idx="5">
                  <c:v>0,28 $/MWh</c:v>
                </c:pt>
                <c:pt idx="6">
                  <c:v>0,30 $/MWh</c:v>
                </c:pt>
                <c:pt idx="7">
                  <c:v>0,32 $/MWh</c:v>
                </c:pt>
                <c:pt idx="8">
                  <c:v>0,34 $/MWh</c:v>
                </c:pt>
                <c:pt idx="9">
                  <c:v>0,36 $/MWh</c:v>
                </c:pt>
                <c:pt idx="10">
                  <c:v>0,38 $/MWh</c:v>
                </c:pt>
              </c:strCache>
            </c:strRef>
          </c:cat>
          <c:val>
            <c:numRef>
              <c:f>'Miner Performance &amp; Resilience'!$E$33:$O$33</c:f>
              <c:numCache>
                <c:formatCode>[$USD]\ #,##0.00</c:formatCode>
                <c:ptCount val="11"/>
                <c:pt idx="0">
                  <c:v>5160.2880000000005</c:v>
                </c:pt>
                <c:pt idx="1">
                  <c:v>5573.1110399999998</c:v>
                </c:pt>
                <c:pt idx="2">
                  <c:v>5985.93408</c:v>
                </c:pt>
                <c:pt idx="3">
                  <c:v>6398.7571199999993</c:v>
                </c:pt>
                <c:pt idx="4">
                  <c:v>6811.5801599999995</c:v>
                </c:pt>
                <c:pt idx="5">
                  <c:v>7224.4031999999997</c:v>
                </c:pt>
                <c:pt idx="6">
                  <c:v>7637.2262399999981</c:v>
                </c:pt>
                <c:pt idx="7">
                  <c:v>8050.0492800000002</c:v>
                </c:pt>
                <c:pt idx="8">
                  <c:v>8462.8723200000004</c:v>
                </c:pt>
                <c:pt idx="9">
                  <c:v>8875.6953599999997</c:v>
                </c:pt>
                <c:pt idx="10">
                  <c:v>9288.518399999999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F-4F1F-8F03-95190CA675C8}"/>
            </c:ext>
          </c:extLst>
        </c:ser>
        <c:ser>
          <c:idx val="3"/>
          <c:order val="3"/>
          <c:tx>
            <c:strRef>
              <c:f>'Miner Performance &amp; Resilience'!$B$34</c:f>
              <c:strCache>
                <c:ptCount val="1"/>
                <c:pt idx="0">
                  <c:v>S19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'Miner Performance &amp; Resilience'!$E$30:$O$30</c:f>
              <c:strCache>
                <c:ptCount val="11"/>
                <c:pt idx="0">
                  <c:v>0,18 $/MWh</c:v>
                </c:pt>
                <c:pt idx="1">
                  <c:v>0,2 $/MWh</c:v>
                </c:pt>
                <c:pt idx="2">
                  <c:v>0,22 $/MWh</c:v>
                </c:pt>
                <c:pt idx="3">
                  <c:v>0,24 $/MWh</c:v>
                </c:pt>
                <c:pt idx="4">
                  <c:v>0,26 $/MWh</c:v>
                </c:pt>
                <c:pt idx="5">
                  <c:v>0,28 $/MWh</c:v>
                </c:pt>
                <c:pt idx="6">
                  <c:v>0,30 $/MWh</c:v>
                </c:pt>
                <c:pt idx="7">
                  <c:v>0,32 $/MWh</c:v>
                </c:pt>
                <c:pt idx="8">
                  <c:v>0,34 $/MWh</c:v>
                </c:pt>
                <c:pt idx="9">
                  <c:v>0,36 $/MWh</c:v>
                </c:pt>
                <c:pt idx="10">
                  <c:v>0,38 $/MWh</c:v>
                </c:pt>
              </c:strCache>
            </c:strRef>
          </c:cat>
          <c:val>
            <c:numRef>
              <c:f>'Miner Performance &amp; Resilience'!$E$34:$O$34</c:f>
              <c:numCache>
                <c:formatCode>[$USD]\ #,##0.00</c:formatCode>
                <c:ptCount val="11"/>
                <c:pt idx="0">
                  <c:v>2580.1440000000002</c:v>
                </c:pt>
                <c:pt idx="1">
                  <c:v>2786.5555199999999</c:v>
                </c:pt>
                <c:pt idx="2">
                  <c:v>2992.96704</c:v>
                </c:pt>
                <c:pt idx="3">
                  <c:v>3199.3785599999997</c:v>
                </c:pt>
                <c:pt idx="4">
                  <c:v>3405.7900799999998</c:v>
                </c:pt>
                <c:pt idx="5">
                  <c:v>3612.2015999999999</c:v>
                </c:pt>
                <c:pt idx="6">
                  <c:v>3818.6131199999991</c:v>
                </c:pt>
                <c:pt idx="7">
                  <c:v>4025.0246400000001</c:v>
                </c:pt>
                <c:pt idx="8">
                  <c:v>4231.4361600000002</c:v>
                </c:pt>
                <c:pt idx="9">
                  <c:v>4437.8476799999999</c:v>
                </c:pt>
                <c:pt idx="10">
                  <c:v>4644.2591999999995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F-4F1F-8F03-95190CA675C8}"/>
            </c:ext>
          </c:extLst>
        </c:ser>
        <c:ser>
          <c:idx val="4"/>
          <c:order val="4"/>
          <c:tx>
            <c:strRef>
              <c:f>'Miner Performance &amp; Resilience'!$B$35</c:f>
              <c:strCache>
                <c:ptCount val="1"/>
                <c:pt idx="0">
                  <c:v>M20s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'Miner Performance &amp; Resilience'!$E$30:$O$30</c:f>
              <c:strCache>
                <c:ptCount val="11"/>
                <c:pt idx="0">
                  <c:v>0,18 $/MWh</c:v>
                </c:pt>
                <c:pt idx="1">
                  <c:v>0,2 $/MWh</c:v>
                </c:pt>
                <c:pt idx="2">
                  <c:v>0,22 $/MWh</c:v>
                </c:pt>
                <c:pt idx="3">
                  <c:v>0,24 $/MWh</c:v>
                </c:pt>
                <c:pt idx="4">
                  <c:v>0,26 $/MWh</c:v>
                </c:pt>
                <c:pt idx="5">
                  <c:v>0,28 $/MWh</c:v>
                </c:pt>
                <c:pt idx="6">
                  <c:v>0,30 $/MWh</c:v>
                </c:pt>
                <c:pt idx="7">
                  <c:v>0,32 $/MWh</c:v>
                </c:pt>
                <c:pt idx="8">
                  <c:v>0,34 $/MWh</c:v>
                </c:pt>
                <c:pt idx="9">
                  <c:v>0,36 $/MWh</c:v>
                </c:pt>
                <c:pt idx="10">
                  <c:v>0,38 $/MWh</c:v>
                </c:pt>
              </c:strCache>
            </c:strRef>
          </c:cat>
          <c:val>
            <c:numRef>
              <c:f>'Miner Performance &amp; Resilience'!$E$35:$O$35</c:f>
              <c:numCache>
                <c:formatCode>[$USD]\ #,##0.00</c:formatCode>
                <c:ptCount val="11"/>
                <c:pt idx="0">
                  <c:v>3538.4832000000001</c:v>
                </c:pt>
                <c:pt idx="1">
                  <c:v>3821.5618559999998</c:v>
                </c:pt>
                <c:pt idx="2">
                  <c:v>4104.6405119999999</c:v>
                </c:pt>
                <c:pt idx="3">
                  <c:v>4387.7191679999996</c:v>
                </c:pt>
                <c:pt idx="4">
                  <c:v>4670.7978240000002</c:v>
                </c:pt>
                <c:pt idx="5">
                  <c:v>4953.8764800000008</c:v>
                </c:pt>
                <c:pt idx="6">
                  <c:v>5236.9551359999996</c:v>
                </c:pt>
                <c:pt idx="7">
                  <c:v>5520.0337920000002</c:v>
                </c:pt>
                <c:pt idx="8">
                  <c:v>5803.1124479999999</c:v>
                </c:pt>
                <c:pt idx="9">
                  <c:v>6086.1911039999995</c:v>
                </c:pt>
                <c:pt idx="10">
                  <c:v>6369.2697599999992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F1F-8F03-95190CA675C8}"/>
            </c:ext>
          </c:extLst>
        </c:ser>
        <c:ser>
          <c:idx val="5"/>
          <c:order val="5"/>
          <c:tx>
            <c:strRef>
              <c:f>'Miner Performance &amp; Resilience'!$B$36</c:f>
              <c:strCache>
                <c:ptCount val="1"/>
                <c:pt idx="0">
                  <c:v>M31s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'Miner Performance &amp; Resilience'!$E$30:$O$30</c:f>
              <c:strCache>
                <c:ptCount val="11"/>
                <c:pt idx="0">
                  <c:v>0,18 $/MWh</c:v>
                </c:pt>
                <c:pt idx="1">
                  <c:v>0,2 $/MWh</c:v>
                </c:pt>
                <c:pt idx="2">
                  <c:v>0,22 $/MWh</c:v>
                </c:pt>
                <c:pt idx="3">
                  <c:v>0,24 $/MWh</c:v>
                </c:pt>
                <c:pt idx="4">
                  <c:v>0,26 $/MWh</c:v>
                </c:pt>
                <c:pt idx="5">
                  <c:v>0,28 $/MWh</c:v>
                </c:pt>
                <c:pt idx="6">
                  <c:v>0,30 $/MWh</c:v>
                </c:pt>
                <c:pt idx="7">
                  <c:v>0,32 $/MWh</c:v>
                </c:pt>
                <c:pt idx="8">
                  <c:v>0,34 $/MWh</c:v>
                </c:pt>
                <c:pt idx="9">
                  <c:v>0,36 $/MWh</c:v>
                </c:pt>
                <c:pt idx="10">
                  <c:v>0,38 $/MWh</c:v>
                </c:pt>
              </c:strCache>
            </c:strRef>
          </c:cat>
          <c:val>
            <c:numRef>
              <c:f>'Miner Performance &amp; Resilience'!$E$36:$O$36</c:f>
              <c:numCache>
                <c:formatCode>[$USD]\ #,##0.00</c:formatCode>
                <c:ptCount val="11"/>
                <c:pt idx="0">
                  <c:v>3096.1727999999994</c:v>
                </c:pt>
                <c:pt idx="1">
                  <c:v>3343.8666240000002</c:v>
                </c:pt>
                <c:pt idx="2">
                  <c:v>3591.5604479999997</c:v>
                </c:pt>
                <c:pt idx="3">
                  <c:v>3839.2542719999992</c:v>
                </c:pt>
                <c:pt idx="4">
                  <c:v>4086.9480960000001</c:v>
                </c:pt>
                <c:pt idx="5">
                  <c:v>4334.64192</c:v>
                </c:pt>
                <c:pt idx="6">
                  <c:v>4582.3357439999991</c:v>
                </c:pt>
                <c:pt idx="7">
                  <c:v>4830.0295679999999</c:v>
                </c:pt>
                <c:pt idx="8">
                  <c:v>5077.7233919999999</c:v>
                </c:pt>
                <c:pt idx="9">
                  <c:v>5325.4172159999989</c:v>
                </c:pt>
                <c:pt idx="10">
                  <c:v>5573.1110399999998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F-4F1F-8F03-95190CA675C8}"/>
            </c:ext>
          </c:extLst>
        </c:ser>
        <c:ser>
          <c:idx val="6"/>
          <c:order val="6"/>
          <c:tx>
            <c:strRef>
              <c:f>'Miner Performance &amp; Resilience'!$B$37</c:f>
              <c:strCache>
                <c:ptCount val="1"/>
                <c:pt idx="0">
                  <c:v>M30s+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'Miner Performance &amp; Resilience'!$E$30:$O$30</c:f>
              <c:strCache>
                <c:ptCount val="11"/>
                <c:pt idx="0">
                  <c:v>0,18 $/MWh</c:v>
                </c:pt>
                <c:pt idx="1">
                  <c:v>0,2 $/MWh</c:v>
                </c:pt>
                <c:pt idx="2">
                  <c:v>0,22 $/MWh</c:v>
                </c:pt>
                <c:pt idx="3">
                  <c:v>0,24 $/MWh</c:v>
                </c:pt>
                <c:pt idx="4">
                  <c:v>0,26 $/MWh</c:v>
                </c:pt>
                <c:pt idx="5">
                  <c:v>0,28 $/MWh</c:v>
                </c:pt>
                <c:pt idx="6">
                  <c:v>0,30 $/MWh</c:v>
                </c:pt>
                <c:pt idx="7">
                  <c:v>0,32 $/MWh</c:v>
                </c:pt>
                <c:pt idx="8">
                  <c:v>0,34 $/MWh</c:v>
                </c:pt>
                <c:pt idx="9">
                  <c:v>0,36 $/MWh</c:v>
                </c:pt>
                <c:pt idx="10">
                  <c:v>0,38 $/MWh</c:v>
                </c:pt>
              </c:strCache>
            </c:strRef>
          </c:cat>
          <c:val>
            <c:numRef>
              <c:f>'Miner Performance &amp; Resilience'!$E$37:$O$37</c:f>
              <c:numCache>
                <c:formatCode>[$USD]\ #,##0.00</c:formatCode>
                <c:ptCount val="11"/>
                <c:pt idx="0">
                  <c:v>2506.4256000000005</c:v>
                </c:pt>
                <c:pt idx="1">
                  <c:v>2706.939648</c:v>
                </c:pt>
                <c:pt idx="2">
                  <c:v>2907.453696</c:v>
                </c:pt>
                <c:pt idx="3">
                  <c:v>3107.9677440000005</c:v>
                </c:pt>
                <c:pt idx="4">
                  <c:v>3308.481792</c:v>
                </c:pt>
                <c:pt idx="5">
                  <c:v>3508.9958400000005</c:v>
                </c:pt>
                <c:pt idx="6">
                  <c:v>3709.5098880000005</c:v>
                </c:pt>
                <c:pt idx="7">
                  <c:v>3910.023936</c:v>
                </c:pt>
                <c:pt idx="8">
                  <c:v>4110.5379840000005</c:v>
                </c:pt>
                <c:pt idx="9">
                  <c:v>4311.0520319999996</c:v>
                </c:pt>
                <c:pt idx="10">
                  <c:v>4511.5660800000005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5F-4F1F-8F03-95190CA6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251488"/>
        <c:axId val="711246896"/>
      </c:lineChart>
      <c:catAx>
        <c:axId val="71125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1246896"/>
        <c:crosses val="autoZero"/>
        <c:auto val="1"/>
        <c:lblAlgn val="ctr"/>
        <c:lblOffset val="100"/>
        <c:noMultiLvlLbl val="0"/>
      </c:catAx>
      <c:valAx>
        <c:axId val="711246896"/>
        <c:scaling>
          <c:orientation val="minMax"/>
          <c:max val="10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to produce1  BTC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[$USD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12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S17  CashFlow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 - DC Operation'!$O$2</c:f>
              <c:strCache>
                <c:ptCount val="1"/>
                <c:pt idx="0">
                  <c:v>S17  CashFlow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'Cash Flow - DC Operation'!$B$3:$B$59</c:f>
              <c:numCache>
                <c:formatCode>mmm\-yy</c:formatCode>
                <c:ptCount val="57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</c:numCache>
            </c:numRef>
          </c:cat>
          <c:val>
            <c:numRef>
              <c:f>'Cash Flow - DC Operation'!$O$3:$O$59</c:f>
              <c:numCache>
                <c:formatCode>#,##0.00</c:formatCode>
                <c:ptCount val="57"/>
                <c:pt idx="0">
                  <c:v>-575668.76991999999</c:v>
                </c:pt>
                <c:pt idx="1">
                  <c:v>-541757.53983999998</c:v>
                </c:pt>
                <c:pt idx="2">
                  <c:v>-507846.30975999997</c:v>
                </c:pt>
                <c:pt idx="3">
                  <c:v>-473935.07967999997</c:v>
                </c:pt>
                <c:pt idx="4">
                  <c:v>-440023.84959999996</c:v>
                </c:pt>
                <c:pt idx="5">
                  <c:v>-406112.61951999995</c:v>
                </c:pt>
                <c:pt idx="6">
                  <c:v>-372201.38943999994</c:v>
                </c:pt>
                <c:pt idx="7">
                  <c:v>-338290.15935999993</c:v>
                </c:pt>
                <c:pt idx="8">
                  <c:v>-304378.92927999992</c:v>
                </c:pt>
                <c:pt idx="9">
                  <c:v>-270467.69919999992</c:v>
                </c:pt>
                <c:pt idx="10">
                  <c:v>-236556.46911999991</c:v>
                </c:pt>
                <c:pt idx="11">
                  <c:v>-202645.2390399999</c:v>
                </c:pt>
                <c:pt idx="12">
                  <c:v>-168734.00895999989</c:v>
                </c:pt>
                <c:pt idx="13">
                  <c:v>-134822.77887999988</c:v>
                </c:pt>
                <c:pt idx="14">
                  <c:v>-100911.54879999987</c:v>
                </c:pt>
                <c:pt idx="15">
                  <c:v>-67000.318719999865</c:v>
                </c:pt>
                <c:pt idx="16">
                  <c:v>-33089.088639999864</c:v>
                </c:pt>
                <c:pt idx="17">
                  <c:v>822.14144000013766</c:v>
                </c:pt>
                <c:pt idx="18">
                  <c:v>34733.371520000139</c:v>
                </c:pt>
                <c:pt idx="19">
                  <c:v>68644.60160000014</c:v>
                </c:pt>
                <c:pt idx="20">
                  <c:v>102555.83168000015</c:v>
                </c:pt>
                <c:pt idx="21">
                  <c:v>136467.06176000016</c:v>
                </c:pt>
                <c:pt idx="22">
                  <c:v>170378.29184000017</c:v>
                </c:pt>
                <c:pt idx="23">
                  <c:v>204289.52192000017</c:v>
                </c:pt>
                <c:pt idx="24">
                  <c:v>238200.75200000018</c:v>
                </c:pt>
                <c:pt idx="25">
                  <c:v>272111.98208000016</c:v>
                </c:pt>
                <c:pt idx="26">
                  <c:v>306023.21216000017</c:v>
                </c:pt>
                <c:pt idx="27">
                  <c:v>339934.44224000018</c:v>
                </c:pt>
                <c:pt idx="28">
                  <c:v>373845.67232000019</c:v>
                </c:pt>
                <c:pt idx="29">
                  <c:v>407756.9024000002</c:v>
                </c:pt>
                <c:pt idx="30">
                  <c:v>441668.1324800002</c:v>
                </c:pt>
                <c:pt idx="31">
                  <c:v>475579.36256000021</c:v>
                </c:pt>
                <c:pt idx="32">
                  <c:v>509490.59264000022</c:v>
                </c:pt>
                <c:pt idx="33">
                  <c:v>543401.82272000017</c:v>
                </c:pt>
                <c:pt idx="34">
                  <c:v>577313.05280000018</c:v>
                </c:pt>
                <c:pt idx="35">
                  <c:v>611224.28288000019</c:v>
                </c:pt>
                <c:pt idx="36">
                  <c:v>645135.5129600002</c:v>
                </c:pt>
                <c:pt idx="37">
                  <c:v>679046.7430400002</c:v>
                </c:pt>
                <c:pt idx="38">
                  <c:v>712957.97312000021</c:v>
                </c:pt>
                <c:pt idx="39">
                  <c:v>746869.20320000022</c:v>
                </c:pt>
                <c:pt idx="40">
                  <c:v>780780.43328000023</c:v>
                </c:pt>
                <c:pt idx="41">
                  <c:v>814691.66336000024</c:v>
                </c:pt>
                <c:pt idx="42">
                  <c:v>848602.89344000025</c:v>
                </c:pt>
                <c:pt idx="43">
                  <c:v>882514.12352000026</c:v>
                </c:pt>
                <c:pt idx="44">
                  <c:v>916425.35360000026</c:v>
                </c:pt>
                <c:pt idx="45">
                  <c:v>950336.58368000027</c:v>
                </c:pt>
                <c:pt idx="46">
                  <c:v>958564.89104000025</c:v>
                </c:pt>
                <c:pt idx="47">
                  <c:v>966793.19840000023</c:v>
                </c:pt>
                <c:pt idx="48">
                  <c:v>975021.5057600002</c:v>
                </c:pt>
                <c:pt idx="49">
                  <c:v>983249.81312000018</c:v>
                </c:pt>
                <c:pt idx="50">
                  <c:v>991478.12048000016</c:v>
                </c:pt>
                <c:pt idx="51">
                  <c:v>999706.42784000013</c:v>
                </c:pt>
                <c:pt idx="52">
                  <c:v>1007934.7352000001</c:v>
                </c:pt>
                <c:pt idx="53">
                  <c:v>1016163.0425600001</c:v>
                </c:pt>
                <c:pt idx="54">
                  <c:v>1024391.3499200001</c:v>
                </c:pt>
                <c:pt idx="55">
                  <c:v>1032619.65728</c:v>
                </c:pt>
                <c:pt idx="56">
                  <c:v>1040847.96464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D-4EF1-B868-AB6A10D9B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95312"/>
        <c:axId val="669660040"/>
      </c:lineChart>
      <c:dateAx>
        <c:axId val="4898953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9660040"/>
        <c:crosses val="autoZero"/>
        <c:auto val="1"/>
        <c:lblOffset val="100"/>
        <c:baseTimeUnit val="months"/>
      </c:dateAx>
      <c:valAx>
        <c:axId val="6696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989531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T17  CashFlow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 - DC Operation'!$T$2</c:f>
              <c:strCache>
                <c:ptCount val="1"/>
                <c:pt idx="0">
                  <c:v>T17  CashFlow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'Cash Flow - DC Operation'!$B$3:$B$59</c:f>
              <c:numCache>
                <c:formatCode>mmm\-yy</c:formatCode>
                <c:ptCount val="57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</c:numCache>
            </c:numRef>
          </c:cat>
          <c:val>
            <c:numRef>
              <c:f>'Cash Flow - DC Operation'!$O$3:$O$59</c:f>
              <c:numCache>
                <c:formatCode>#,##0.00</c:formatCode>
                <c:ptCount val="57"/>
                <c:pt idx="0">
                  <c:v>-575668.76991999999</c:v>
                </c:pt>
                <c:pt idx="1">
                  <c:v>-541757.53983999998</c:v>
                </c:pt>
                <c:pt idx="2">
                  <c:v>-507846.30975999997</c:v>
                </c:pt>
                <c:pt idx="3">
                  <c:v>-473935.07967999997</c:v>
                </c:pt>
                <c:pt idx="4">
                  <c:v>-440023.84959999996</c:v>
                </c:pt>
                <c:pt idx="5">
                  <c:v>-406112.61951999995</c:v>
                </c:pt>
                <c:pt idx="6">
                  <c:v>-372201.38943999994</c:v>
                </c:pt>
                <c:pt idx="7">
                  <c:v>-338290.15935999993</c:v>
                </c:pt>
                <c:pt idx="8">
                  <c:v>-304378.92927999992</c:v>
                </c:pt>
                <c:pt idx="9">
                  <c:v>-270467.69919999992</c:v>
                </c:pt>
                <c:pt idx="10">
                  <c:v>-236556.46911999991</c:v>
                </c:pt>
                <c:pt idx="11">
                  <c:v>-202645.2390399999</c:v>
                </c:pt>
                <c:pt idx="12">
                  <c:v>-168734.00895999989</c:v>
                </c:pt>
                <c:pt idx="13">
                  <c:v>-134822.77887999988</c:v>
                </c:pt>
                <c:pt idx="14">
                  <c:v>-100911.54879999987</c:v>
                </c:pt>
                <c:pt idx="15">
                  <c:v>-67000.318719999865</c:v>
                </c:pt>
                <c:pt idx="16">
                  <c:v>-33089.088639999864</c:v>
                </c:pt>
                <c:pt idx="17">
                  <c:v>822.14144000013766</c:v>
                </c:pt>
                <c:pt idx="18">
                  <c:v>34733.371520000139</c:v>
                </c:pt>
                <c:pt idx="19">
                  <c:v>68644.60160000014</c:v>
                </c:pt>
                <c:pt idx="20">
                  <c:v>102555.83168000015</c:v>
                </c:pt>
                <c:pt idx="21">
                  <c:v>136467.06176000016</c:v>
                </c:pt>
                <c:pt idx="22">
                  <c:v>170378.29184000017</c:v>
                </c:pt>
                <c:pt idx="23">
                  <c:v>204289.52192000017</c:v>
                </c:pt>
                <c:pt idx="24">
                  <c:v>238200.75200000018</c:v>
                </c:pt>
                <c:pt idx="25">
                  <c:v>272111.98208000016</c:v>
                </c:pt>
                <c:pt idx="26">
                  <c:v>306023.21216000017</c:v>
                </c:pt>
                <c:pt idx="27">
                  <c:v>339934.44224000018</c:v>
                </c:pt>
                <c:pt idx="28">
                  <c:v>373845.67232000019</c:v>
                </c:pt>
                <c:pt idx="29">
                  <c:v>407756.9024000002</c:v>
                </c:pt>
                <c:pt idx="30">
                  <c:v>441668.1324800002</c:v>
                </c:pt>
                <c:pt idx="31">
                  <c:v>475579.36256000021</c:v>
                </c:pt>
                <c:pt idx="32">
                  <c:v>509490.59264000022</c:v>
                </c:pt>
                <c:pt idx="33">
                  <c:v>543401.82272000017</c:v>
                </c:pt>
                <c:pt idx="34">
                  <c:v>577313.05280000018</c:v>
                </c:pt>
                <c:pt idx="35">
                  <c:v>611224.28288000019</c:v>
                </c:pt>
                <c:pt idx="36">
                  <c:v>645135.5129600002</c:v>
                </c:pt>
                <c:pt idx="37">
                  <c:v>679046.7430400002</c:v>
                </c:pt>
                <c:pt idx="38">
                  <c:v>712957.97312000021</c:v>
                </c:pt>
                <c:pt idx="39">
                  <c:v>746869.20320000022</c:v>
                </c:pt>
                <c:pt idx="40">
                  <c:v>780780.43328000023</c:v>
                </c:pt>
                <c:pt idx="41">
                  <c:v>814691.66336000024</c:v>
                </c:pt>
                <c:pt idx="42">
                  <c:v>848602.89344000025</c:v>
                </c:pt>
                <c:pt idx="43">
                  <c:v>882514.12352000026</c:v>
                </c:pt>
                <c:pt idx="44">
                  <c:v>916425.35360000026</c:v>
                </c:pt>
                <c:pt idx="45">
                  <c:v>950336.58368000027</c:v>
                </c:pt>
                <c:pt idx="46">
                  <c:v>958564.89104000025</c:v>
                </c:pt>
                <c:pt idx="47">
                  <c:v>966793.19840000023</c:v>
                </c:pt>
                <c:pt idx="48">
                  <c:v>975021.5057600002</c:v>
                </c:pt>
                <c:pt idx="49">
                  <c:v>983249.81312000018</c:v>
                </c:pt>
                <c:pt idx="50">
                  <c:v>991478.12048000016</c:v>
                </c:pt>
                <c:pt idx="51">
                  <c:v>999706.42784000013</c:v>
                </c:pt>
                <c:pt idx="52">
                  <c:v>1007934.7352000001</c:v>
                </c:pt>
                <c:pt idx="53">
                  <c:v>1016163.0425600001</c:v>
                </c:pt>
                <c:pt idx="54">
                  <c:v>1024391.3499200001</c:v>
                </c:pt>
                <c:pt idx="55">
                  <c:v>1032619.65728</c:v>
                </c:pt>
                <c:pt idx="56">
                  <c:v>1040847.96464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A-49F4-9C8F-B8B38093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95312"/>
        <c:axId val="669660040"/>
      </c:lineChart>
      <c:dateAx>
        <c:axId val="4898953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9660040"/>
        <c:crosses val="autoZero"/>
        <c:auto val="1"/>
        <c:lblOffset val="100"/>
        <c:baseTimeUnit val="months"/>
      </c:dateAx>
      <c:valAx>
        <c:axId val="6696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989531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S9  CashFlow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 - DC Operation'!$Y$2</c:f>
              <c:strCache>
                <c:ptCount val="1"/>
                <c:pt idx="0">
                  <c:v>S9  CashFlow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'Cash Flow - DC Operation'!$B$3:$B$59</c:f>
              <c:numCache>
                <c:formatCode>mmm\-yy</c:formatCode>
                <c:ptCount val="57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</c:numCache>
            </c:numRef>
          </c:cat>
          <c:val>
            <c:numRef>
              <c:f>'Cash Flow - DC Operation'!$Y$3:$Y$59</c:f>
              <c:numCache>
                <c:formatCode>[$USD]\ #,##0.00</c:formatCode>
                <c:ptCount val="57"/>
                <c:pt idx="0">
                  <c:v>-176282.70368000001</c:v>
                </c:pt>
                <c:pt idx="1">
                  <c:v>-164385.40736000001</c:v>
                </c:pt>
                <c:pt idx="2">
                  <c:v>-152488.11104000002</c:v>
                </c:pt>
                <c:pt idx="3">
                  <c:v>-140590.81472000002</c:v>
                </c:pt>
                <c:pt idx="4">
                  <c:v>-128693.51840000002</c:v>
                </c:pt>
                <c:pt idx="5">
                  <c:v>-116796.22208000001</c:v>
                </c:pt>
                <c:pt idx="6">
                  <c:v>-104898.92576</c:v>
                </c:pt>
                <c:pt idx="7">
                  <c:v>-93001.62943999999</c:v>
                </c:pt>
                <c:pt idx="8">
                  <c:v>-81104.333119999981</c:v>
                </c:pt>
                <c:pt idx="9">
                  <c:v>-69207.036799999973</c:v>
                </c:pt>
                <c:pt idx="10">
                  <c:v>-57309.740479999971</c:v>
                </c:pt>
                <c:pt idx="11">
                  <c:v>-45412.44415999997</c:v>
                </c:pt>
                <c:pt idx="12">
                  <c:v>-33515.147839999969</c:v>
                </c:pt>
                <c:pt idx="13">
                  <c:v>-21617.851519999967</c:v>
                </c:pt>
                <c:pt idx="14">
                  <c:v>-9720.5551999999643</c:v>
                </c:pt>
                <c:pt idx="15">
                  <c:v>2176.7411200000388</c:v>
                </c:pt>
                <c:pt idx="16">
                  <c:v>14074.037440000042</c:v>
                </c:pt>
                <c:pt idx="17">
                  <c:v>25971.333760000045</c:v>
                </c:pt>
                <c:pt idx="18">
                  <c:v>37868.630080000046</c:v>
                </c:pt>
                <c:pt idx="19">
                  <c:v>49765.926400000048</c:v>
                </c:pt>
                <c:pt idx="20">
                  <c:v>61663.222720000049</c:v>
                </c:pt>
                <c:pt idx="21">
                  <c:v>73560.519040000057</c:v>
                </c:pt>
                <c:pt idx="22">
                  <c:v>85457.815360000066</c:v>
                </c:pt>
                <c:pt idx="23">
                  <c:v>97355.111680000075</c:v>
                </c:pt>
                <c:pt idx="24">
                  <c:v>109252.40800000008</c:v>
                </c:pt>
                <c:pt idx="25">
                  <c:v>121149.70432000009</c:v>
                </c:pt>
                <c:pt idx="26">
                  <c:v>133047.0006400001</c:v>
                </c:pt>
                <c:pt idx="27">
                  <c:v>144944.29696000009</c:v>
                </c:pt>
                <c:pt idx="28">
                  <c:v>156841.59328000009</c:v>
                </c:pt>
                <c:pt idx="29">
                  <c:v>168738.88960000008</c:v>
                </c:pt>
                <c:pt idx="30">
                  <c:v>180636.18592000008</c:v>
                </c:pt>
                <c:pt idx="31">
                  <c:v>192533.48224000007</c:v>
                </c:pt>
                <c:pt idx="32">
                  <c:v>204430.77856000006</c:v>
                </c:pt>
                <c:pt idx="33">
                  <c:v>216328.07488000006</c:v>
                </c:pt>
                <c:pt idx="34">
                  <c:v>228225.37120000005</c:v>
                </c:pt>
                <c:pt idx="35">
                  <c:v>240122.66752000005</c:v>
                </c:pt>
                <c:pt idx="36">
                  <c:v>252019.96384000004</c:v>
                </c:pt>
                <c:pt idx="37">
                  <c:v>263917.26016000006</c:v>
                </c:pt>
                <c:pt idx="38">
                  <c:v>275814.55648000009</c:v>
                </c:pt>
                <c:pt idx="39">
                  <c:v>287711.85280000011</c:v>
                </c:pt>
                <c:pt idx="40">
                  <c:v>299609.14912000013</c:v>
                </c:pt>
                <c:pt idx="41">
                  <c:v>311506.44544000016</c:v>
                </c:pt>
                <c:pt idx="42">
                  <c:v>323403.74176000018</c:v>
                </c:pt>
                <c:pt idx="43">
                  <c:v>335301.0380800002</c:v>
                </c:pt>
                <c:pt idx="44">
                  <c:v>347198.33440000023</c:v>
                </c:pt>
                <c:pt idx="45">
                  <c:v>359095.63072000025</c:v>
                </c:pt>
                <c:pt idx="46">
                  <c:v>356316.97120000026</c:v>
                </c:pt>
                <c:pt idx="47">
                  <c:v>353538.31168000028</c:v>
                </c:pt>
                <c:pt idx="48">
                  <c:v>350759.65216000029</c:v>
                </c:pt>
                <c:pt idx="49">
                  <c:v>347980.9926400003</c:v>
                </c:pt>
                <c:pt idx="50">
                  <c:v>345202.33312000032</c:v>
                </c:pt>
                <c:pt idx="51">
                  <c:v>342423.67360000033</c:v>
                </c:pt>
                <c:pt idx="52">
                  <c:v>339645.01408000034</c:v>
                </c:pt>
                <c:pt idx="53">
                  <c:v>336866.35456000036</c:v>
                </c:pt>
                <c:pt idx="54">
                  <c:v>334087.69504000037</c:v>
                </c:pt>
                <c:pt idx="55">
                  <c:v>331309.03552000038</c:v>
                </c:pt>
                <c:pt idx="56">
                  <c:v>328530.3760000004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4-4B7E-B7E9-17EB00843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95312"/>
        <c:axId val="669660040"/>
      </c:lineChart>
      <c:dateAx>
        <c:axId val="4898953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9660040"/>
        <c:crosses val="autoZero"/>
        <c:auto val="1"/>
        <c:lblOffset val="100"/>
        <c:baseTimeUnit val="months"/>
      </c:dateAx>
      <c:valAx>
        <c:axId val="6696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USD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989531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S19  CashFlow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 - DC Operation'!$AD$2</c:f>
              <c:strCache>
                <c:ptCount val="1"/>
                <c:pt idx="0">
                  <c:v>S19  CashFlow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'Cash Flow - DC Operation'!$B$3:$B$59</c:f>
              <c:numCache>
                <c:formatCode>mmm\-yy</c:formatCode>
                <c:ptCount val="57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</c:numCache>
            </c:numRef>
          </c:cat>
          <c:val>
            <c:numRef>
              <c:f>'Cash Flow - DC Operation'!$AD$3:$AD$59</c:f>
              <c:numCache>
                <c:formatCode>[$USD]\ #,##0.00</c:formatCode>
                <c:ptCount val="57"/>
                <c:pt idx="0">
                  <c:v>-708273.55287999997</c:v>
                </c:pt>
                <c:pt idx="1">
                  <c:v>-666567.10575999995</c:v>
                </c:pt>
                <c:pt idx="2">
                  <c:v>-624860.65863999992</c:v>
                </c:pt>
                <c:pt idx="3">
                  <c:v>-583154.2115199999</c:v>
                </c:pt>
                <c:pt idx="4">
                  <c:v>-541447.76439999987</c:v>
                </c:pt>
                <c:pt idx="5">
                  <c:v>-499741.31727999984</c:v>
                </c:pt>
                <c:pt idx="6">
                  <c:v>-458034.87015999982</c:v>
                </c:pt>
                <c:pt idx="7">
                  <c:v>-416328.42303999979</c:v>
                </c:pt>
                <c:pt idx="8">
                  <c:v>-374621.97591999976</c:v>
                </c:pt>
                <c:pt idx="9">
                  <c:v>-332915.52879999974</c:v>
                </c:pt>
                <c:pt idx="10">
                  <c:v>-291209.08167999971</c:v>
                </c:pt>
                <c:pt idx="11">
                  <c:v>-249502.63455999971</c:v>
                </c:pt>
                <c:pt idx="12">
                  <c:v>-207796.18743999972</c:v>
                </c:pt>
                <c:pt idx="13">
                  <c:v>-166089.74031999972</c:v>
                </c:pt>
                <c:pt idx="14">
                  <c:v>-124383.29319999972</c:v>
                </c:pt>
                <c:pt idx="15">
                  <c:v>-82676.846079999726</c:v>
                </c:pt>
                <c:pt idx="16">
                  <c:v>-40970.398959999722</c:v>
                </c:pt>
                <c:pt idx="17">
                  <c:v>736.04816000028222</c:v>
                </c:pt>
                <c:pt idx="18">
                  <c:v>42442.495280000287</c:v>
                </c:pt>
                <c:pt idx="19">
                  <c:v>84148.942400000291</c:v>
                </c:pt>
                <c:pt idx="20">
                  <c:v>125855.38952000029</c:v>
                </c:pt>
                <c:pt idx="21">
                  <c:v>167561.83664000029</c:v>
                </c:pt>
                <c:pt idx="22">
                  <c:v>209268.28376000028</c:v>
                </c:pt>
                <c:pt idx="23">
                  <c:v>250974.73088000028</c:v>
                </c:pt>
                <c:pt idx="24">
                  <c:v>292681.17800000031</c:v>
                </c:pt>
                <c:pt idx="25">
                  <c:v>334387.62512000033</c:v>
                </c:pt>
                <c:pt idx="26">
                  <c:v>376094.07224000036</c:v>
                </c:pt>
                <c:pt idx="27">
                  <c:v>417800.51936000038</c:v>
                </c:pt>
                <c:pt idx="28">
                  <c:v>459506.96648000041</c:v>
                </c:pt>
                <c:pt idx="29">
                  <c:v>501213.41360000044</c:v>
                </c:pt>
                <c:pt idx="30">
                  <c:v>542919.86072000046</c:v>
                </c:pt>
                <c:pt idx="31">
                  <c:v>584626.30784000049</c:v>
                </c:pt>
                <c:pt idx="32">
                  <c:v>626332.75496000051</c:v>
                </c:pt>
                <c:pt idx="33">
                  <c:v>668039.20208000054</c:v>
                </c:pt>
                <c:pt idx="34">
                  <c:v>709745.64920000057</c:v>
                </c:pt>
                <c:pt idx="35">
                  <c:v>751452.09632000059</c:v>
                </c:pt>
                <c:pt idx="36">
                  <c:v>793158.54344000062</c:v>
                </c:pt>
                <c:pt idx="37">
                  <c:v>834864.99056000065</c:v>
                </c:pt>
                <c:pt idx="38">
                  <c:v>876571.43768000067</c:v>
                </c:pt>
                <c:pt idx="39">
                  <c:v>918277.8848000007</c:v>
                </c:pt>
                <c:pt idx="40">
                  <c:v>959984.33192000072</c:v>
                </c:pt>
                <c:pt idx="41">
                  <c:v>1001690.7790400008</c:v>
                </c:pt>
                <c:pt idx="42">
                  <c:v>1043397.2261600008</c:v>
                </c:pt>
                <c:pt idx="43">
                  <c:v>1085103.6732800007</c:v>
                </c:pt>
                <c:pt idx="44">
                  <c:v>1126810.1204000006</c:v>
                </c:pt>
                <c:pt idx="45">
                  <c:v>1168516.5675200005</c:v>
                </c:pt>
                <c:pt idx="46">
                  <c:v>1180639.8641600006</c:v>
                </c:pt>
                <c:pt idx="47">
                  <c:v>1192763.1608000007</c:v>
                </c:pt>
                <c:pt idx="48">
                  <c:v>1204886.4574400007</c:v>
                </c:pt>
                <c:pt idx="49">
                  <c:v>1217009.7540800008</c:v>
                </c:pt>
                <c:pt idx="50">
                  <c:v>1229133.0507200009</c:v>
                </c:pt>
                <c:pt idx="51">
                  <c:v>1241256.3473600009</c:v>
                </c:pt>
                <c:pt idx="52">
                  <c:v>1253379.644000001</c:v>
                </c:pt>
                <c:pt idx="53">
                  <c:v>1265502.9406400011</c:v>
                </c:pt>
                <c:pt idx="54">
                  <c:v>1277626.2372800012</c:v>
                </c:pt>
                <c:pt idx="55">
                  <c:v>1289749.5339200012</c:v>
                </c:pt>
                <c:pt idx="56">
                  <c:v>1301872.8305600013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1-42D6-8FFA-2AFA21E5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95312"/>
        <c:axId val="669660040"/>
      </c:lineChart>
      <c:dateAx>
        <c:axId val="4898953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9660040"/>
        <c:crosses val="autoZero"/>
        <c:auto val="1"/>
        <c:lblOffset val="100"/>
        <c:baseTimeUnit val="months"/>
      </c:dateAx>
      <c:valAx>
        <c:axId val="6696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USD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989531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M20  CashFlow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 - DC Operation'!$AI$2</c:f>
              <c:strCache>
                <c:ptCount val="1"/>
                <c:pt idx="0">
                  <c:v>M20s  CashFlow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'Cash Flow - DC Operation'!$B$3:$B$59</c:f>
              <c:numCache>
                <c:formatCode>mmm\-yy</c:formatCode>
                <c:ptCount val="57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</c:numCache>
            </c:numRef>
          </c:cat>
          <c:val>
            <c:numRef>
              <c:f>'Cash Flow - DC Operation'!$AI$3:$AI$59</c:f>
              <c:numCache>
                <c:formatCode>[$USD]\ #,##0.00</c:formatCode>
                <c:ptCount val="57"/>
                <c:pt idx="0">
                  <c:v>-359709.47503999999</c:v>
                </c:pt>
                <c:pt idx="1">
                  <c:v>-334118.95007999998</c:v>
                </c:pt>
                <c:pt idx="2">
                  <c:v>-308528.42511999997</c:v>
                </c:pt>
                <c:pt idx="3">
                  <c:v>-282937.90015999996</c:v>
                </c:pt>
                <c:pt idx="4">
                  <c:v>-257347.37519999995</c:v>
                </c:pt>
                <c:pt idx="5">
                  <c:v>-231756.85023999994</c:v>
                </c:pt>
                <c:pt idx="6">
                  <c:v>-206166.32527999993</c:v>
                </c:pt>
                <c:pt idx="7">
                  <c:v>-180575.80031999992</c:v>
                </c:pt>
                <c:pt idx="8">
                  <c:v>-154985.27535999991</c:v>
                </c:pt>
                <c:pt idx="9">
                  <c:v>-129394.7503999999</c:v>
                </c:pt>
                <c:pt idx="10">
                  <c:v>-103804.22543999989</c:v>
                </c:pt>
                <c:pt idx="11">
                  <c:v>-78213.700479999883</c:v>
                </c:pt>
                <c:pt idx="12">
                  <c:v>-52623.175519999873</c:v>
                </c:pt>
                <c:pt idx="13">
                  <c:v>-27032.650559999864</c:v>
                </c:pt>
                <c:pt idx="14">
                  <c:v>-1442.1255999998539</c:v>
                </c:pt>
                <c:pt idx="15">
                  <c:v>24148.399360000156</c:v>
                </c:pt>
                <c:pt idx="16">
                  <c:v>49738.924320000166</c:v>
                </c:pt>
                <c:pt idx="17">
                  <c:v>75329.449280000175</c:v>
                </c:pt>
                <c:pt idx="18">
                  <c:v>100919.97424000019</c:v>
                </c:pt>
                <c:pt idx="19">
                  <c:v>126510.49920000019</c:v>
                </c:pt>
                <c:pt idx="20">
                  <c:v>152101.0241600002</c:v>
                </c:pt>
                <c:pt idx="21">
                  <c:v>177691.54912000021</c:v>
                </c:pt>
                <c:pt idx="22">
                  <c:v>203282.07408000022</c:v>
                </c:pt>
                <c:pt idx="23">
                  <c:v>228872.59904000023</c:v>
                </c:pt>
                <c:pt idx="24">
                  <c:v>254463.12400000024</c:v>
                </c:pt>
                <c:pt idx="25">
                  <c:v>280053.64896000025</c:v>
                </c:pt>
                <c:pt idx="26">
                  <c:v>305644.17392000026</c:v>
                </c:pt>
                <c:pt idx="27">
                  <c:v>331234.69888000027</c:v>
                </c:pt>
                <c:pt idx="28">
                  <c:v>356825.22384000028</c:v>
                </c:pt>
                <c:pt idx="29">
                  <c:v>382415.74880000029</c:v>
                </c:pt>
                <c:pt idx="30">
                  <c:v>408006.2737600003</c:v>
                </c:pt>
                <c:pt idx="31">
                  <c:v>433596.79872000031</c:v>
                </c:pt>
                <c:pt idx="32">
                  <c:v>459187.32368000032</c:v>
                </c:pt>
                <c:pt idx="33">
                  <c:v>484777.84864000033</c:v>
                </c:pt>
                <c:pt idx="34">
                  <c:v>510368.37360000034</c:v>
                </c:pt>
                <c:pt idx="35">
                  <c:v>535958.89856000035</c:v>
                </c:pt>
                <c:pt idx="36">
                  <c:v>561549.42352000042</c:v>
                </c:pt>
                <c:pt idx="37">
                  <c:v>587139.94848000049</c:v>
                </c:pt>
                <c:pt idx="38">
                  <c:v>612730.47344000055</c:v>
                </c:pt>
                <c:pt idx="39">
                  <c:v>638320.99840000062</c:v>
                </c:pt>
                <c:pt idx="40">
                  <c:v>663911.52336000069</c:v>
                </c:pt>
                <c:pt idx="41">
                  <c:v>689502.04832000076</c:v>
                </c:pt>
                <c:pt idx="42">
                  <c:v>715092.57328000083</c:v>
                </c:pt>
                <c:pt idx="43">
                  <c:v>740683.09824000089</c:v>
                </c:pt>
                <c:pt idx="44">
                  <c:v>766273.62320000096</c:v>
                </c:pt>
                <c:pt idx="45">
                  <c:v>791864.14816000103</c:v>
                </c:pt>
                <c:pt idx="46">
                  <c:v>795944.32608000108</c:v>
                </c:pt>
                <c:pt idx="47">
                  <c:v>800024.50400000112</c:v>
                </c:pt>
                <c:pt idx="48">
                  <c:v>804104.68192000117</c:v>
                </c:pt>
                <c:pt idx="49">
                  <c:v>808184.85984000121</c:v>
                </c:pt>
                <c:pt idx="50">
                  <c:v>812265.03776000126</c:v>
                </c:pt>
                <c:pt idx="51">
                  <c:v>816345.2156800013</c:v>
                </c:pt>
                <c:pt idx="52">
                  <c:v>820425.39360000135</c:v>
                </c:pt>
                <c:pt idx="53">
                  <c:v>824505.57152000139</c:v>
                </c:pt>
                <c:pt idx="54">
                  <c:v>828585.74944000144</c:v>
                </c:pt>
                <c:pt idx="55">
                  <c:v>832665.92736000149</c:v>
                </c:pt>
                <c:pt idx="56">
                  <c:v>836746.10528000153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0-4D30-BEAA-1FB09649E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95312"/>
        <c:axId val="669660040"/>
      </c:lineChart>
      <c:dateAx>
        <c:axId val="4898953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9660040"/>
        <c:crosses val="autoZero"/>
        <c:auto val="1"/>
        <c:lblOffset val="100"/>
        <c:baseTimeUnit val="months"/>
      </c:dateAx>
      <c:valAx>
        <c:axId val="6696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USD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989531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M31s  CashFlow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 - DC Operation'!$AN$2</c:f>
              <c:strCache>
                <c:ptCount val="1"/>
                <c:pt idx="0">
                  <c:v>M31s  CashFlow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'Cash Flow - DC Operation'!$B$3:$B$59</c:f>
              <c:numCache>
                <c:formatCode>mmm\-yy</c:formatCode>
                <c:ptCount val="57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</c:numCache>
            </c:numRef>
          </c:cat>
          <c:val>
            <c:numRef>
              <c:f>'Cash Flow - DC Operation'!$AN$3:$AN$59</c:f>
              <c:numCache>
                <c:formatCode>[$USD]\ #,##0.00</c:formatCode>
                <c:ptCount val="57"/>
                <c:pt idx="0">
                  <c:v>-588354.68876799999</c:v>
                </c:pt>
                <c:pt idx="1">
                  <c:v>-554323.38055930438</c:v>
                </c:pt>
                <c:pt idx="2">
                  <c:v>-520292.07235060871</c:v>
                </c:pt>
                <c:pt idx="3">
                  <c:v>-486260.76414191304</c:v>
                </c:pt>
                <c:pt idx="4">
                  <c:v>-452229.45593321737</c:v>
                </c:pt>
                <c:pt idx="5">
                  <c:v>-418198.1477245217</c:v>
                </c:pt>
                <c:pt idx="6">
                  <c:v>-384166.83951582602</c:v>
                </c:pt>
                <c:pt idx="7">
                  <c:v>-350135.53130713035</c:v>
                </c:pt>
                <c:pt idx="8">
                  <c:v>-316104.22309843468</c:v>
                </c:pt>
                <c:pt idx="9">
                  <c:v>-282072.91488973901</c:v>
                </c:pt>
                <c:pt idx="10">
                  <c:v>-248041.60668104334</c:v>
                </c:pt>
                <c:pt idx="11">
                  <c:v>-214010.29847234767</c:v>
                </c:pt>
                <c:pt idx="12">
                  <c:v>-179978.990263652</c:v>
                </c:pt>
                <c:pt idx="13">
                  <c:v>-145947.68205495633</c:v>
                </c:pt>
                <c:pt idx="14">
                  <c:v>-111916.37384626066</c:v>
                </c:pt>
                <c:pt idx="15">
                  <c:v>-77885.065637564985</c:v>
                </c:pt>
                <c:pt idx="16">
                  <c:v>-43853.757428869321</c:v>
                </c:pt>
                <c:pt idx="17">
                  <c:v>-9822.4492201736575</c:v>
                </c:pt>
                <c:pt idx="18">
                  <c:v>24208.858988522006</c:v>
                </c:pt>
                <c:pt idx="19">
                  <c:v>58240.16719721767</c:v>
                </c:pt>
                <c:pt idx="20">
                  <c:v>92271.475405913341</c:v>
                </c:pt>
                <c:pt idx="21">
                  <c:v>126302.78361460901</c:v>
                </c:pt>
                <c:pt idx="22">
                  <c:v>160334.09182330468</c:v>
                </c:pt>
                <c:pt idx="23">
                  <c:v>194365.40003200035</c:v>
                </c:pt>
                <c:pt idx="24">
                  <c:v>228396.70824069603</c:v>
                </c:pt>
                <c:pt idx="25">
                  <c:v>262428.01644939167</c:v>
                </c:pt>
                <c:pt idx="26">
                  <c:v>296459.32465808734</c:v>
                </c:pt>
                <c:pt idx="27">
                  <c:v>330490.63286678301</c:v>
                </c:pt>
                <c:pt idx="28">
                  <c:v>364521.94107547868</c:v>
                </c:pt>
                <c:pt idx="29">
                  <c:v>398553.24928417435</c:v>
                </c:pt>
                <c:pt idx="30">
                  <c:v>432584.55749287002</c:v>
                </c:pt>
                <c:pt idx="31">
                  <c:v>466615.86570156569</c:v>
                </c:pt>
                <c:pt idx="32">
                  <c:v>500647.17391026136</c:v>
                </c:pt>
                <c:pt idx="33">
                  <c:v>534678.48211895698</c:v>
                </c:pt>
                <c:pt idx="34">
                  <c:v>568709.79032765259</c:v>
                </c:pt>
                <c:pt idx="35">
                  <c:v>602741.0985363482</c:v>
                </c:pt>
                <c:pt idx="36">
                  <c:v>636772.40674504382</c:v>
                </c:pt>
                <c:pt idx="37">
                  <c:v>670803.71495373943</c:v>
                </c:pt>
                <c:pt idx="38">
                  <c:v>704835.02316243504</c:v>
                </c:pt>
                <c:pt idx="39">
                  <c:v>738866.33137113065</c:v>
                </c:pt>
                <c:pt idx="40">
                  <c:v>772897.63957982627</c:v>
                </c:pt>
                <c:pt idx="41">
                  <c:v>806928.94778852188</c:v>
                </c:pt>
                <c:pt idx="42">
                  <c:v>840960.25599721749</c:v>
                </c:pt>
                <c:pt idx="43">
                  <c:v>874991.56420591311</c:v>
                </c:pt>
                <c:pt idx="44">
                  <c:v>909022.87241460872</c:v>
                </c:pt>
                <c:pt idx="45">
                  <c:v>943054.18062330433</c:v>
                </c:pt>
                <c:pt idx="46">
                  <c:v>950596.91672765219</c:v>
                </c:pt>
                <c:pt idx="47">
                  <c:v>958139.65283200005</c:v>
                </c:pt>
                <c:pt idx="48">
                  <c:v>965682.38893634791</c:v>
                </c:pt>
                <c:pt idx="49">
                  <c:v>973225.12504069577</c:v>
                </c:pt>
                <c:pt idx="50">
                  <c:v>980767.86114504363</c:v>
                </c:pt>
                <c:pt idx="51">
                  <c:v>988310.59724939149</c:v>
                </c:pt>
                <c:pt idx="52">
                  <c:v>995853.33335373935</c:v>
                </c:pt>
                <c:pt idx="53">
                  <c:v>1003396.0694580872</c:v>
                </c:pt>
                <c:pt idx="54">
                  <c:v>1010938.8055624351</c:v>
                </c:pt>
                <c:pt idx="55">
                  <c:v>1018481.5416667829</c:v>
                </c:pt>
                <c:pt idx="56">
                  <c:v>1026024.2777711308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3-462E-800D-1BACA2D41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95312"/>
        <c:axId val="669660040"/>
      </c:lineChart>
      <c:dateAx>
        <c:axId val="4898953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9660040"/>
        <c:crosses val="autoZero"/>
        <c:auto val="1"/>
        <c:lblOffset val="100"/>
        <c:baseTimeUnit val="months"/>
      </c:dateAx>
      <c:valAx>
        <c:axId val="6696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USD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989531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M30s+  CashFlow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 - DC Operation'!$AS$2</c:f>
              <c:strCache>
                <c:ptCount val="1"/>
                <c:pt idx="0">
                  <c:v>M30s+  CashFlow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'Cash Flow - DC Operation'!$B$3:$B$59</c:f>
              <c:numCache>
                <c:formatCode>mmm\-yy</c:formatCode>
                <c:ptCount val="57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</c:numCache>
            </c:numRef>
          </c:cat>
          <c:val>
            <c:numRef>
              <c:f>'Cash Flow - DC Operation'!$AS$3:$AS$59</c:f>
              <c:numCache>
                <c:formatCode>[$USD]\ #,##0.00</c:formatCode>
                <c:ptCount val="57"/>
                <c:pt idx="0">
                  <c:v>-828663.25503999996</c:v>
                </c:pt>
                <c:pt idx="1">
                  <c:v>-781923.86669217388</c:v>
                </c:pt>
                <c:pt idx="2">
                  <c:v>-735184.47834434779</c:v>
                </c:pt>
                <c:pt idx="3">
                  <c:v>-688445.08999652171</c:v>
                </c:pt>
                <c:pt idx="4">
                  <c:v>-641705.70164869563</c:v>
                </c:pt>
                <c:pt idx="5">
                  <c:v>-594966.31330086954</c:v>
                </c:pt>
                <c:pt idx="6">
                  <c:v>-548226.92495304346</c:v>
                </c:pt>
                <c:pt idx="7">
                  <c:v>-501487.53660521738</c:v>
                </c:pt>
                <c:pt idx="8">
                  <c:v>-454748.14825739129</c:v>
                </c:pt>
                <c:pt idx="9">
                  <c:v>-408008.75990956521</c:v>
                </c:pt>
                <c:pt idx="10">
                  <c:v>-361269.37156173913</c:v>
                </c:pt>
                <c:pt idx="11">
                  <c:v>-314529.98321391304</c:v>
                </c:pt>
                <c:pt idx="12">
                  <c:v>-267790.59486608696</c:v>
                </c:pt>
                <c:pt idx="13">
                  <c:v>-221051.20651826088</c:v>
                </c:pt>
                <c:pt idx="14">
                  <c:v>-174311.8181704348</c:v>
                </c:pt>
                <c:pt idx="15">
                  <c:v>-127572.42982260871</c:v>
                </c:pt>
                <c:pt idx="16">
                  <c:v>-80833.041474782629</c:v>
                </c:pt>
                <c:pt idx="17">
                  <c:v>-34093.653126956538</c:v>
                </c:pt>
                <c:pt idx="18">
                  <c:v>12645.735220869552</c:v>
                </c:pt>
                <c:pt idx="19">
                  <c:v>59385.123568695642</c:v>
                </c:pt>
                <c:pt idx="20">
                  <c:v>106124.51191652173</c:v>
                </c:pt>
                <c:pt idx="21">
                  <c:v>152863.90026434782</c:v>
                </c:pt>
                <c:pt idx="22">
                  <c:v>199603.2886121739</c:v>
                </c:pt>
                <c:pt idx="23">
                  <c:v>246342.67695999998</c:v>
                </c:pt>
                <c:pt idx="24">
                  <c:v>293082.06530782609</c:v>
                </c:pt>
                <c:pt idx="25">
                  <c:v>339821.45365565218</c:v>
                </c:pt>
                <c:pt idx="26">
                  <c:v>386560.84200347826</c:v>
                </c:pt>
                <c:pt idx="27">
                  <c:v>433300.23035130434</c:v>
                </c:pt>
                <c:pt idx="28">
                  <c:v>480039.61869913043</c:v>
                </c:pt>
                <c:pt idx="29">
                  <c:v>526779.00704695657</c:v>
                </c:pt>
                <c:pt idx="30">
                  <c:v>573518.39539478265</c:v>
                </c:pt>
                <c:pt idx="31">
                  <c:v>620257.78374260874</c:v>
                </c:pt>
                <c:pt idx="32">
                  <c:v>666997.17209043482</c:v>
                </c:pt>
                <c:pt idx="33">
                  <c:v>713736.5604382609</c:v>
                </c:pt>
                <c:pt idx="34">
                  <c:v>760475.94878608698</c:v>
                </c:pt>
                <c:pt idx="35">
                  <c:v>807215.33713391307</c:v>
                </c:pt>
                <c:pt idx="36">
                  <c:v>853954.72548173915</c:v>
                </c:pt>
                <c:pt idx="37">
                  <c:v>900694.11382956523</c:v>
                </c:pt>
                <c:pt idx="38">
                  <c:v>947433.50217739132</c:v>
                </c:pt>
                <c:pt idx="39">
                  <c:v>994172.8905252174</c:v>
                </c:pt>
                <c:pt idx="40">
                  <c:v>1040912.2788730435</c:v>
                </c:pt>
                <c:pt idx="41">
                  <c:v>1087651.6672208696</c:v>
                </c:pt>
                <c:pt idx="42">
                  <c:v>1134391.0555686958</c:v>
                </c:pt>
                <c:pt idx="43">
                  <c:v>1181130.443916522</c:v>
                </c:pt>
                <c:pt idx="44">
                  <c:v>1227869.8322643482</c:v>
                </c:pt>
                <c:pt idx="45">
                  <c:v>1274609.2206121744</c:v>
                </c:pt>
                <c:pt idx="46">
                  <c:v>1288505.9967860875</c:v>
                </c:pt>
                <c:pt idx="47">
                  <c:v>1302402.7729600007</c:v>
                </c:pt>
                <c:pt idx="48">
                  <c:v>1316299.5491339138</c:v>
                </c:pt>
                <c:pt idx="49">
                  <c:v>1330196.325307827</c:v>
                </c:pt>
                <c:pt idx="50">
                  <c:v>1344093.1014817401</c:v>
                </c:pt>
                <c:pt idx="51">
                  <c:v>1357989.8776556533</c:v>
                </c:pt>
                <c:pt idx="52">
                  <c:v>1371886.6538295664</c:v>
                </c:pt>
                <c:pt idx="53">
                  <c:v>1385783.4300034796</c:v>
                </c:pt>
                <c:pt idx="54">
                  <c:v>1399680.2061773927</c:v>
                </c:pt>
                <c:pt idx="55">
                  <c:v>1413576.9823513059</c:v>
                </c:pt>
                <c:pt idx="56">
                  <c:v>1427473.758525219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A-44E9-9C5F-F064E9B4F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95312"/>
        <c:axId val="669660040"/>
      </c:lineChart>
      <c:dateAx>
        <c:axId val="4898953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9660040"/>
        <c:crosses val="autoZero"/>
        <c:auto val="1"/>
        <c:lblOffset val="100"/>
        <c:baseTimeUnit val="months"/>
      </c:dateAx>
      <c:valAx>
        <c:axId val="6696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USD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989531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GBox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1</xdr:col>
      <xdr:colOff>9525</xdr:colOff>
      <xdr:row>67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0982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80432</xdr:colOff>
      <xdr:row>2</xdr:row>
      <xdr:rowOff>95249</xdr:rowOff>
    </xdr:from>
    <xdr:to>
      <xdr:col>11</xdr:col>
      <xdr:colOff>433914</xdr:colOff>
      <xdr:row>27</xdr:row>
      <xdr:rowOff>84667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550334</xdr:colOff>
      <xdr:row>2</xdr:row>
      <xdr:rowOff>94189</xdr:rowOff>
    </xdr:from>
    <xdr:to>
      <xdr:col>20</xdr:col>
      <xdr:colOff>476251</xdr:colOff>
      <xdr:row>27</xdr:row>
      <xdr:rowOff>95248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0.49616</cdr:x>
      <cdr:y>0.09341</cdr:y>
    </cdr:from>
    <cdr:to>
      <cdr:x>0.49616</cdr:x>
      <cdr:y>0.9011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202B9AC-6F13-4671-B99F-20E8C31B6ED0}"/>
            </a:ext>
          </a:extLst>
        </cdr:cNvPr>
        <cdr:cNvCxnSpPr/>
      </cdr:nvCxnSpPr>
      <cdr:spPr>
        <a:xfrm xmlns:a="http://schemas.openxmlformats.org/drawingml/2006/main" flipH="1">
          <a:off x="3147485" y="359834"/>
          <a:ext cx="1" cy="311150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0.10077</cdr:x>
      <cdr:y>0.48901</cdr:y>
    </cdr:from>
    <cdr:to>
      <cdr:x>0.88655</cdr:x>
      <cdr:y>0.49176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514D785-4A40-4845-A8A2-D21454D205AE}"/>
            </a:ext>
          </a:extLst>
        </cdr:cNvPr>
        <cdr:cNvCxnSpPr/>
      </cdr:nvCxnSpPr>
      <cdr:spPr>
        <a:xfrm xmlns:a="http://schemas.openxmlformats.org/drawingml/2006/main" flipH="1" flipV="1">
          <a:off x="639235" y="1883833"/>
          <a:ext cx="4984749" cy="10584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0</xdr:row>
          <xdr:rowOff>152400</xdr:rowOff>
        </xdr:from>
        <xdr:to>
          <xdr:col>8</xdr:col>
          <xdr:colOff>28575</xdr:colOff>
          <xdr:row>13</xdr:row>
          <xdr:rowOff>114300</xdr:rowOff>
        </xdr:to>
        <xdr:sp macro="" textlink="">
          <xdr:nvSpPr>
            <xdr:cNvPr id="4099" name="Group Box 3" descr="GENERAL INFO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NL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 INFO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19050</xdr:colOff>
      <xdr:row>26</xdr:row>
      <xdr:rowOff>104775</xdr:rowOff>
    </xdr:from>
    <xdr:to>
      <xdr:col>3</xdr:col>
      <xdr:colOff>447675</xdr:colOff>
      <xdr:row>43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523875</xdr:colOff>
      <xdr:row>26</xdr:row>
      <xdr:rowOff>104775</xdr:rowOff>
    </xdr:from>
    <xdr:to>
      <xdr:col>5</xdr:col>
      <xdr:colOff>800100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876300</xdr:colOff>
      <xdr:row>26</xdr:row>
      <xdr:rowOff>104775</xdr:rowOff>
    </xdr:from>
    <xdr:to>
      <xdr:col>7</xdr:col>
      <xdr:colOff>1028700</xdr:colOff>
      <xdr:row>43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44</xdr:row>
      <xdr:rowOff>95250</xdr:rowOff>
    </xdr:from>
    <xdr:to>
      <xdr:col>3</xdr:col>
      <xdr:colOff>447675</xdr:colOff>
      <xdr:row>61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523875</xdr:colOff>
      <xdr:row>44</xdr:row>
      <xdr:rowOff>114300</xdr:rowOff>
    </xdr:from>
    <xdr:to>
      <xdr:col>5</xdr:col>
      <xdr:colOff>800100</xdr:colOff>
      <xdr:row>61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866775</xdr:colOff>
      <xdr:row>44</xdr:row>
      <xdr:rowOff>104775</xdr:rowOff>
    </xdr:from>
    <xdr:to>
      <xdr:col>7</xdr:col>
      <xdr:colOff>1019175</xdr:colOff>
      <xdr:row>61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3</xdr:col>
      <xdr:colOff>428625</xdr:colOff>
      <xdr:row>79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AD0B0D-76CA-4C71-AEA8-0B361C5D4248}" name="Table1" displayName="Table1" ref="B17:H25" totalsRowShown="0" headerRowDxfId="10" headerRowBorderDxfId="9" tableBorderDxfId="8" totalsRowBorderDxfId="7" headerRowCellStyle="20% - Accent4" dataCellStyle="20% - Accent4">
  <autoFilter ref="B17:H25" xr:uid="{75B1B942-A79C-4640-812C-E05210ABA798}"/>
  <tableColumns count="7">
    <tableColumn id="1" xr3:uid="{40A48F6A-0572-415D-A2C2-1C5367B667DF}" name="General Info" dataDxfId="6" dataCellStyle="20% - Accent4">
      <calculatedColumnFormula>'Analyzier - Inputs'!B7</calculatedColumnFormula>
    </tableColumn>
    <tableColumn id="2" xr3:uid="{907E1DDD-B97F-4BB2-AC44-E2E931DE1E83}" name="Column1" dataDxfId="5" dataCellStyle="20% - Accent4">
      <calculatedColumnFormula>'Analyzier - Inputs'!H7</calculatedColumnFormula>
    </tableColumn>
    <tableColumn id="3" xr3:uid="{50E8074D-48A8-42BB-8DC8-B8586B630B3B}" name="Column2" dataDxfId="4" dataCellStyle="20% - Accent4">
      <calculatedColumnFormula>'Analyzier - Inputs'!E26</calculatedColumnFormula>
    </tableColumn>
    <tableColumn id="4" xr3:uid="{A466186A-2EE5-45AB-A824-74B215D3498B}" name="KPI PBP" dataDxfId="3" dataCellStyle="20% - Accent4">
      <calculatedColumnFormula>'Analyzier - Inputs'!C38</calculatedColumnFormula>
    </tableColumn>
    <tableColumn id="5" xr3:uid="{C8CCB9BC-54D6-475D-A1D4-BC1C30A10F90}" name="Column3" dataDxfId="2" dataCellStyle="20% - Accent4"/>
    <tableColumn id="6" xr3:uid="{AB0B2D93-48B8-4FCE-929B-B383AD29D777}" name="Column4" dataDxfId="1" dataCellStyle="20% - Accent4"/>
    <tableColumn id="7" xr3:uid="{823CBA61-2AB5-4DFD-842D-5419A9689D5F}" name="Column5" dataDxfId="0" dataCellStyle="20% - Accent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3589-EA7F-4F03-A91B-7C71AF2CAF0A}">
  <sheetPr>
    <tabColor theme="4"/>
  </sheetPr>
  <dimension ref="B1:L68"/>
  <sheetViews>
    <sheetView tabSelected="1" topLeftCell="A31" zoomScale="115" zoomScaleNormal="115" workbookViewId="0">
      <selection activeCell="C41" sqref="C41"/>
    </sheetView>
  </sheetViews>
  <sheetFormatPr defaultColWidth="9.140625" defaultRowHeight="12.75" x14ac:dyDescent="0.2"/>
  <cols>
    <col min="1" max="1" width="3.140625" style="1" customWidth="1"/>
    <col min="2" max="2" width="32.85546875" style="1" customWidth="1"/>
    <col min="3" max="3" width="33.140625" style="1" bestFit="1" customWidth="1"/>
    <col min="4" max="4" width="29.85546875" style="1" bestFit="1" customWidth="1"/>
    <col min="5" max="5" width="36" style="1" customWidth="1"/>
    <col min="6" max="6" width="34.42578125" style="1" bestFit="1" customWidth="1"/>
    <col min="7" max="7" width="36.7109375" style="1" bestFit="1" customWidth="1"/>
    <col min="8" max="8" width="30.7109375" style="1" bestFit="1" customWidth="1"/>
    <col min="9" max="9" width="25.5703125" style="1" customWidth="1"/>
    <col min="10" max="10" width="23.85546875" style="1" bestFit="1" customWidth="1"/>
    <col min="11" max="11" width="22" style="1" bestFit="1" customWidth="1"/>
    <col min="12" max="12" width="29.28515625" style="1" bestFit="1" customWidth="1"/>
    <col min="13" max="16384" width="9.140625" style="1"/>
  </cols>
  <sheetData>
    <row r="1" spans="2:11" ht="13.5" thickBot="1" x14ac:dyDescent="0.25"/>
    <row r="2" spans="2:11" ht="18.75" thickBot="1" x14ac:dyDescent="0.3">
      <c r="B2" s="139" t="s">
        <v>24</v>
      </c>
      <c r="C2" s="139"/>
      <c r="D2" s="139"/>
      <c r="E2" s="139"/>
      <c r="F2" s="139"/>
      <c r="G2" s="139"/>
      <c r="H2" s="139"/>
      <c r="I2" s="139"/>
    </row>
    <row r="3" spans="2:11" ht="18" x14ac:dyDescent="0.25">
      <c r="B3" s="94" t="s">
        <v>28</v>
      </c>
      <c r="C3" s="95" t="s">
        <v>29</v>
      </c>
      <c r="D3" s="96" t="s">
        <v>31</v>
      </c>
      <c r="E3" s="96" t="s">
        <v>32</v>
      </c>
      <c r="F3" s="96" t="s">
        <v>104</v>
      </c>
      <c r="G3" s="96" t="s">
        <v>118</v>
      </c>
      <c r="H3" s="96" t="s">
        <v>120</v>
      </c>
      <c r="I3" s="96" t="s">
        <v>129</v>
      </c>
    </row>
    <row r="4" spans="2:11" ht="18.75" thickBot="1" x14ac:dyDescent="0.3">
      <c r="B4" s="97">
        <v>1</v>
      </c>
      <c r="C4" s="98">
        <v>115</v>
      </c>
      <c r="D4" s="99">
        <v>0.04</v>
      </c>
      <c r="E4" s="100">
        <v>9000</v>
      </c>
      <c r="F4" s="101">
        <v>1</v>
      </c>
      <c r="G4" s="101">
        <v>1</v>
      </c>
      <c r="H4" s="101">
        <v>1</v>
      </c>
      <c r="I4" s="101">
        <v>0.08</v>
      </c>
    </row>
    <row r="5" spans="2:11" ht="13.5" thickBot="1" x14ac:dyDescent="0.25">
      <c r="B5" s="2"/>
      <c r="I5" s="31"/>
    </row>
    <row r="6" spans="2:11" x14ac:dyDescent="0.2">
      <c r="B6" s="132" t="s">
        <v>23</v>
      </c>
      <c r="C6" s="133"/>
      <c r="D6" s="133"/>
      <c r="E6" s="133"/>
      <c r="F6" s="133"/>
      <c r="G6" s="133" t="s">
        <v>114</v>
      </c>
      <c r="H6" s="134"/>
      <c r="I6" s="31"/>
    </row>
    <row r="7" spans="2:11" x14ac:dyDescent="0.2">
      <c r="B7" s="67" t="s">
        <v>0</v>
      </c>
      <c r="C7" s="68" t="s">
        <v>1</v>
      </c>
      <c r="D7" s="69" t="s">
        <v>2</v>
      </c>
      <c r="E7" s="68" t="s">
        <v>3</v>
      </c>
      <c r="F7" s="68" t="s">
        <v>4</v>
      </c>
      <c r="G7" s="69" t="s">
        <v>5</v>
      </c>
      <c r="H7" s="70" t="s">
        <v>6</v>
      </c>
      <c r="I7" s="31"/>
    </row>
    <row r="8" spans="2:11" x14ac:dyDescent="0.2">
      <c r="B8" s="38" t="s">
        <v>122</v>
      </c>
      <c r="C8" s="46">
        <v>1200</v>
      </c>
      <c r="D8" s="47">
        <f>C8*1.2</f>
        <v>1440</v>
      </c>
      <c r="E8" s="39">
        <v>70</v>
      </c>
      <c r="F8" s="39">
        <v>2800</v>
      </c>
      <c r="G8" s="47">
        <f>D8/E8</f>
        <v>20.571428571428573</v>
      </c>
      <c r="H8" s="71">
        <f>ROUNDDOWN((1000000/F8),0)</f>
        <v>357</v>
      </c>
      <c r="I8" s="31"/>
      <c r="J8" s="31"/>
      <c r="K8" s="31"/>
    </row>
    <row r="9" spans="2:11" x14ac:dyDescent="0.2">
      <c r="B9" s="38" t="s">
        <v>123</v>
      </c>
      <c r="C9" s="46">
        <v>800</v>
      </c>
      <c r="D9" s="47">
        <f t="shared" ref="D9:D14" si="0">C9*1.2</f>
        <v>960</v>
      </c>
      <c r="E9" s="39">
        <v>58</v>
      </c>
      <c r="F9" s="39">
        <v>2900</v>
      </c>
      <c r="G9" s="47">
        <f>D9/E9</f>
        <v>16.551724137931036</v>
      </c>
      <c r="H9" s="71">
        <f>ROUNDDOWN((1000000/F9),0)</f>
        <v>344</v>
      </c>
      <c r="I9" s="31"/>
    </row>
    <row r="10" spans="2:11" x14ac:dyDescent="0.2">
      <c r="B10" s="38" t="s">
        <v>108</v>
      </c>
      <c r="C10" s="48">
        <v>50</v>
      </c>
      <c r="D10" s="47">
        <f t="shared" si="0"/>
        <v>60</v>
      </c>
      <c r="E10" s="39">
        <v>10</v>
      </c>
      <c r="F10" s="39">
        <v>700</v>
      </c>
      <c r="G10" s="47">
        <f t="shared" ref="G10:G14" si="1">D10/E10</f>
        <v>6</v>
      </c>
      <c r="H10" s="71">
        <f>ROUNDDOWN((1000000/F10),0)</f>
        <v>1428</v>
      </c>
      <c r="I10" s="31"/>
    </row>
    <row r="11" spans="2:11" s="31" customFormat="1" x14ac:dyDescent="0.2">
      <c r="B11" s="38" t="s">
        <v>124</v>
      </c>
      <c r="C11" s="46">
        <v>1800</v>
      </c>
      <c r="D11" s="47">
        <f t="shared" si="0"/>
        <v>2160</v>
      </c>
      <c r="E11" s="39">
        <v>95</v>
      </c>
      <c r="F11" s="39">
        <v>3300</v>
      </c>
      <c r="G11" s="47">
        <f t="shared" si="1"/>
        <v>22.736842105263158</v>
      </c>
      <c r="H11" s="71">
        <f t="shared" ref="H11:H14" si="2">ROUNDDOWN((1000000/F11),0)</f>
        <v>303</v>
      </c>
    </row>
    <row r="12" spans="2:11" x14ac:dyDescent="0.2">
      <c r="B12" s="38" t="s">
        <v>125</v>
      </c>
      <c r="C12" s="48">
        <v>750</v>
      </c>
      <c r="D12" s="47">
        <f t="shared" si="0"/>
        <v>900</v>
      </c>
      <c r="E12" s="39">
        <v>65</v>
      </c>
      <c r="F12" s="39">
        <v>3100</v>
      </c>
      <c r="G12" s="47">
        <f t="shared" si="1"/>
        <v>13.846153846153847</v>
      </c>
      <c r="H12" s="71">
        <f t="shared" si="2"/>
        <v>322</v>
      </c>
      <c r="I12" s="31"/>
    </row>
    <row r="13" spans="2:11" s="31" customFormat="1" x14ac:dyDescent="0.2">
      <c r="B13" s="38" t="s">
        <v>126</v>
      </c>
      <c r="C13" s="48">
        <v>1400</v>
      </c>
      <c r="D13" s="47">
        <f t="shared" si="0"/>
        <v>1680</v>
      </c>
      <c r="E13" s="39">
        <v>76</v>
      </c>
      <c r="F13" s="39">
        <v>3200</v>
      </c>
      <c r="G13" s="47">
        <f t="shared" si="1"/>
        <v>22.105263157894736</v>
      </c>
      <c r="H13" s="71">
        <f t="shared" si="2"/>
        <v>312</v>
      </c>
    </row>
    <row r="14" spans="2:11" s="31" customFormat="1" ht="13.5" thickBot="1" x14ac:dyDescent="0.25">
      <c r="B14" s="40" t="s">
        <v>127</v>
      </c>
      <c r="C14" s="49">
        <v>2200</v>
      </c>
      <c r="D14" s="50">
        <f t="shared" si="0"/>
        <v>2640</v>
      </c>
      <c r="E14" s="41">
        <v>100</v>
      </c>
      <c r="F14" s="41">
        <v>3400</v>
      </c>
      <c r="G14" s="50">
        <f t="shared" si="1"/>
        <v>26.4</v>
      </c>
      <c r="H14" s="72">
        <f t="shared" si="2"/>
        <v>294</v>
      </c>
    </row>
    <row r="15" spans="2:11" ht="13.5" thickBot="1" x14ac:dyDescent="0.25">
      <c r="B15" s="2"/>
    </row>
    <row r="16" spans="2:11" ht="13.5" thickBot="1" x14ac:dyDescent="0.25">
      <c r="B16" s="135" t="s">
        <v>27</v>
      </c>
      <c r="C16" s="136"/>
      <c r="D16" s="136"/>
      <c r="E16" s="137"/>
      <c r="F16" s="138"/>
      <c r="G16" s="74" t="s">
        <v>34</v>
      </c>
    </row>
    <row r="17" spans="2:12" x14ac:dyDescent="0.2">
      <c r="B17" s="6" t="s">
        <v>7</v>
      </c>
      <c r="C17" s="17">
        <v>1.9E-2</v>
      </c>
      <c r="D17" s="78" t="s">
        <v>8</v>
      </c>
      <c r="E17" s="176" t="s">
        <v>119</v>
      </c>
      <c r="F17" s="80" t="s">
        <v>121</v>
      </c>
      <c r="G17" s="143" t="s">
        <v>133</v>
      </c>
      <c r="H17" s="144"/>
      <c r="I17" s="144"/>
    </row>
    <row r="18" spans="2:12" x14ac:dyDescent="0.2">
      <c r="B18" s="7" t="s">
        <v>9</v>
      </c>
      <c r="C18" s="18">
        <v>4.0000000000000001E-3</v>
      </c>
      <c r="D18" s="79" t="s">
        <v>8</v>
      </c>
      <c r="E18" s="80" t="s">
        <v>135</v>
      </c>
      <c r="F18" s="81">
        <v>7500</v>
      </c>
      <c r="G18" s="144"/>
      <c r="H18" s="144"/>
      <c r="I18" s="144"/>
    </row>
    <row r="19" spans="2:12" x14ac:dyDescent="0.2">
      <c r="B19" s="7" t="s">
        <v>10</v>
      </c>
      <c r="C19" s="18">
        <v>2E-3</v>
      </c>
      <c r="D19" s="79" t="s">
        <v>8</v>
      </c>
      <c r="E19" s="80" t="s">
        <v>136</v>
      </c>
      <c r="F19" s="82">
        <f>F18/(365*24)</f>
        <v>0.85616438356164382</v>
      </c>
      <c r="G19" s="144"/>
      <c r="H19" s="144"/>
      <c r="I19" s="144"/>
    </row>
    <row r="20" spans="2:12" x14ac:dyDescent="0.2">
      <c r="B20" s="7" t="s">
        <v>11</v>
      </c>
      <c r="C20" s="19">
        <v>1E-3</v>
      </c>
      <c r="D20" s="52" t="s">
        <v>8</v>
      </c>
      <c r="G20" s="144"/>
      <c r="H20" s="144"/>
      <c r="I20" s="144"/>
    </row>
    <row r="21" spans="2:12" x14ac:dyDescent="0.2">
      <c r="B21" s="8" t="s">
        <v>12</v>
      </c>
      <c r="C21" s="20">
        <v>0</v>
      </c>
      <c r="D21" s="9" t="s">
        <v>8</v>
      </c>
      <c r="E21" s="31"/>
      <c r="F21" s="31"/>
      <c r="G21" s="144"/>
      <c r="H21" s="144"/>
      <c r="I21" s="144"/>
    </row>
    <row r="22" spans="2:12" ht="13.5" thickBot="1" x14ac:dyDescent="0.25">
      <c r="B22" s="5" t="s">
        <v>26</v>
      </c>
      <c r="C22" s="21">
        <f>SUM(C17:C21)</f>
        <v>2.6000000000000002E-2</v>
      </c>
      <c r="D22" s="10" t="s">
        <v>13</v>
      </c>
      <c r="E22" s="31"/>
      <c r="F22" s="60"/>
      <c r="G22" s="144"/>
      <c r="H22" s="144"/>
      <c r="I22" s="144"/>
    </row>
    <row r="23" spans="2:12" x14ac:dyDescent="0.2">
      <c r="B23" s="11"/>
      <c r="C23" s="12"/>
      <c r="D23" s="12"/>
      <c r="F23" s="31"/>
      <c r="G23" s="76"/>
      <c r="H23" s="76"/>
      <c r="I23" s="76"/>
      <c r="J23" s="74"/>
    </row>
    <row r="24" spans="2:12" ht="13.5" customHeight="1" thickBot="1" x14ac:dyDescent="0.25">
      <c r="B24" s="2"/>
      <c r="G24" s="77"/>
      <c r="H24" s="77"/>
      <c r="I24" s="77"/>
      <c r="J24" s="73"/>
      <c r="K24" s="73"/>
      <c r="L24" s="73"/>
    </row>
    <row r="25" spans="2:12" ht="13.5" thickBot="1" x14ac:dyDescent="0.25">
      <c r="B25" s="145" t="s">
        <v>14</v>
      </c>
      <c r="C25" s="140" t="s">
        <v>15</v>
      </c>
      <c r="D25" s="141"/>
      <c r="E25" s="141"/>
      <c r="F25" s="141"/>
      <c r="G25" s="141"/>
      <c r="H25" s="142"/>
      <c r="I25" s="73"/>
      <c r="J25" s="73"/>
      <c r="K25" s="73"/>
      <c r="L25" s="73"/>
    </row>
    <row r="26" spans="2:12" ht="13.5" thickBot="1" x14ac:dyDescent="0.25">
      <c r="B26" s="146"/>
      <c r="C26" s="14" t="s">
        <v>111</v>
      </c>
      <c r="D26" s="14" t="s">
        <v>30</v>
      </c>
      <c r="E26" s="14" t="s">
        <v>17</v>
      </c>
      <c r="F26" s="14" t="s">
        <v>128</v>
      </c>
      <c r="G26" s="14" t="s">
        <v>151</v>
      </c>
      <c r="H26" s="14" t="s">
        <v>134</v>
      </c>
      <c r="I26" s="73"/>
      <c r="J26" s="73"/>
      <c r="K26" s="73"/>
      <c r="L26" s="73"/>
    </row>
    <row r="27" spans="2:12" ht="13.5" thickBot="1" x14ac:dyDescent="0.25">
      <c r="B27" s="35" t="str">
        <f>B8</f>
        <v>S17</v>
      </c>
      <c r="C27" s="25">
        <f t="shared" ref="C27:C33" si="3">D8*H8</f>
        <v>514080</v>
      </c>
      <c r="D27" s="33">
        <f>$C$22*1000*24*(365/12)</f>
        <v>18980.000000000004</v>
      </c>
      <c r="E27" s="26">
        <f>E8*H8</f>
        <v>24990</v>
      </c>
      <c r="F27" s="27">
        <f>C27/E27</f>
        <v>20.571428571428573</v>
      </c>
      <c r="G27" s="27">
        <f>IF(B27="S9",VLOOKUP(H27,$B$50:$C$53,2,0)*0.8,VLOOKUP(H27,$B$50:$C$53,2,0))+$C$57+$C$58+$C$59+$C$60</f>
        <v>95500</v>
      </c>
      <c r="H27" s="91" t="s">
        <v>131</v>
      </c>
      <c r="I27" s="73"/>
      <c r="J27" s="73"/>
      <c r="K27" s="73"/>
      <c r="L27" s="73"/>
    </row>
    <row r="28" spans="2:12" ht="13.5" thickBot="1" x14ac:dyDescent="0.25">
      <c r="B28" s="35" t="str">
        <f>B9</f>
        <v>T17</v>
      </c>
      <c r="C28" s="25">
        <f t="shared" si="3"/>
        <v>330240</v>
      </c>
      <c r="D28" s="33">
        <f t="shared" ref="D28:D33" si="4">$C$22*1000*24*(365/12)</f>
        <v>18980.000000000004</v>
      </c>
      <c r="E28" s="26">
        <f>E9*H9</f>
        <v>19952</v>
      </c>
      <c r="F28" s="27">
        <f t="shared" ref="F28:F33" si="5">C28/E28</f>
        <v>16.551724137931036</v>
      </c>
      <c r="G28" s="27">
        <f t="shared" ref="G28:G33" si="6">IF(B28="S9",VLOOKUP(H28,$B$50:$C$53,2,0)*0.8,VLOOKUP(H28,$B$50:$C$53,2,0))+$C$57+$C$58+$C$59+$C$60</f>
        <v>95500</v>
      </c>
      <c r="H28" s="92" t="s">
        <v>131</v>
      </c>
      <c r="I28" s="73"/>
      <c r="J28" s="73"/>
      <c r="K28" s="73"/>
      <c r="L28" s="73"/>
    </row>
    <row r="29" spans="2:12" ht="13.5" thickBot="1" x14ac:dyDescent="0.25">
      <c r="B29" s="35" t="str">
        <f>B10</f>
        <v>S9</v>
      </c>
      <c r="C29" s="25">
        <f t="shared" si="3"/>
        <v>85680</v>
      </c>
      <c r="D29" s="33">
        <f t="shared" si="4"/>
        <v>18980.000000000004</v>
      </c>
      <c r="E29" s="26">
        <f>E10*H10</f>
        <v>14280</v>
      </c>
      <c r="F29" s="27">
        <f t="shared" si="5"/>
        <v>6</v>
      </c>
      <c r="G29" s="27">
        <f t="shared" si="6"/>
        <v>102500</v>
      </c>
      <c r="H29" s="92" t="s">
        <v>132</v>
      </c>
      <c r="I29" s="73"/>
      <c r="J29" s="73"/>
    </row>
    <row r="30" spans="2:12" ht="13.5" customHeight="1" thickBot="1" x14ac:dyDescent="0.25">
      <c r="B30" s="35" t="str">
        <f>B11</f>
        <v>S19</v>
      </c>
      <c r="C30" s="25">
        <f t="shared" si="3"/>
        <v>654480</v>
      </c>
      <c r="D30" s="33">
        <f t="shared" si="4"/>
        <v>18980.000000000004</v>
      </c>
      <c r="E30" s="26">
        <f>E11*H11</f>
        <v>28785</v>
      </c>
      <c r="F30" s="27">
        <f t="shared" si="5"/>
        <v>22.736842105263158</v>
      </c>
      <c r="G30" s="27">
        <f t="shared" si="6"/>
        <v>95500</v>
      </c>
      <c r="H30" s="92" t="s">
        <v>131</v>
      </c>
      <c r="I30" s="75"/>
      <c r="J30" s="75"/>
      <c r="K30" s="75"/>
    </row>
    <row r="31" spans="2:12" ht="13.5" thickBot="1" x14ac:dyDescent="0.25">
      <c r="B31" s="35" t="str">
        <f>B12</f>
        <v>M20s</v>
      </c>
      <c r="C31" s="25">
        <f t="shared" si="3"/>
        <v>289800</v>
      </c>
      <c r="D31" s="33">
        <f t="shared" si="4"/>
        <v>18980.000000000004</v>
      </c>
      <c r="E31" s="26">
        <f>E12*H12</f>
        <v>20930</v>
      </c>
      <c r="F31" s="27">
        <f t="shared" si="5"/>
        <v>13.846153846153847</v>
      </c>
      <c r="G31" s="27">
        <f t="shared" si="6"/>
        <v>95500</v>
      </c>
      <c r="H31" s="92" t="s">
        <v>131</v>
      </c>
      <c r="I31" s="75"/>
      <c r="J31" s="75"/>
      <c r="K31" s="75"/>
    </row>
    <row r="32" spans="2:12" s="31" customFormat="1" ht="13.5" thickBot="1" x14ac:dyDescent="0.25">
      <c r="B32" s="35" t="str">
        <f t="shared" ref="B32:B33" si="7">B13</f>
        <v>M31s</v>
      </c>
      <c r="C32" s="25">
        <f t="shared" si="3"/>
        <v>524160</v>
      </c>
      <c r="D32" s="33">
        <f t="shared" si="4"/>
        <v>18980.000000000004</v>
      </c>
      <c r="E32" s="26">
        <f t="shared" ref="E32:E33" si="8">E13*H13</f>
        <v>23712</v>
      </c>
      <c r="F32" s="27">
        <f t="shared" si="5"/>
        <v>22.105263157894736</v>
      </c>
      <c r="G32" s="27">
        <f t="shared" si="6"/>
        <v>95500</v>
      </c>
      <c r="H32" s="92" t="s">
        <v>131</v>
      </c>
      <c r="I32" s="75"/>
      <c r="J32" s="75"/>
      <c r="K32" s="75"/>
    </row>
    <row r="33" spans="2:10" s="31" customFormat="1" ht="13.5" thickBot="1" x14ac:dyDescent="0.25">
      <c r="B33" s="86" t="str">
        <f t="shared" si="7"/>
        <v>M30s+</v>
      </c>
      <c r="C33" s="87">
        <f t="shared" si="3"/>
        <v>776160</v>
      </c>
      <c r="D33" s="88">
        <f t="shared" si="4"/>
        <v>18980.000000000004</v>
      </c>
      <c r="E33" s="89">
        <f t="shared" si="8"/>
        <v>29400</v>
      </c>
      <c r="F33" s="90">
        <f t="shared" si="5"/>
        <v>26.4</v>
      </c>
      <c r="G33" s="27">
        <f t="shared" si="6"/>
        <v>95500</v>
      </c>
      <c r="H33" s="93" t="s">
        <v>131</v>
      </c>
      <c r="I33" s="66"/>
      <c r="J33" s="66"/>
    </row>
    <row r="34" spans="2:10" ht="13.5" thickBot="1" x14ac:dyDescent="0.25">
      <c r="B34" s="2"/>
    </row>
    <row r="35" spans="2:10" ht="16.5" thickBot="1" x14ac:dyDescent="0.3">
      <c r="B35" s="129" t="s">
        <v>112</v>
      </c>
      <c r="C35" s="130"/>
      <c r="D35" s="130"/>
      <c r="E35" s="130"/>
      <c r="F35" s="130"/>
      <c r="G35" s="130"/>
      <c r="H35" s="131"/>
    </row>
    <row r="36" spans="2:10" ht="13.5" thickBot="1" x14ac:dyDescent="0.25">
      <c r="B36" s="2"/>
      <c r="H36" s="3"/>
    </row>
    <row r="37" spans="2:10" ht="13.5" thickBot="1" x14ac:dyDescent="0.25">
      <c r="B37" s="152" t="s">
        <v>14</v>
      </c>
      <c r="C37" s="154" t="s">
        <v>18</v>
      </c>
      <c r="D37" s="155"/>
      <c r="E37" s="155"/>
      <c r="F37" s="155"/>
      <c r="G37" s="155"/>
      <c r="H37" s="156"/>
    </row>
    <row r="38" spans="2:10" ht="13.5" thickBot="1" x14ac:dyDescent="0.25">
      <c r="B38" s="153"/>
      <c r="C38" s="14" t="s">
        <v>16</v>
      </c>
      <c r="D38" s="14" t="s">
        <v>19</v>
      </c>
      <c r="E38" s="4" t="s">
        <v>107</v>
      </c>
      <c r="F38" s="4" t="s">
        <v>20</v>
      </c>
      <c r="G38" s="4" t="s">
        <v>21</v>
      </c>
      <c r="H38" s="4" t="s">
        <v>22</v>
      </c>
    </row>
    <row r="39" spans="2:10" x14ac:dyDescent="0.2">
      <c r="B39" s="6" t="str">
        <f>B8</f>
        <v>S17</v>
      </c>
      <c r="C39" s="13">
        <f t="shared" ref="C39:C44" si="9">C27+G27</f>
        <v>609580</v>
      </c>
      <c r="D39" s="13">
        <f>D27*12</f>
        <v>227760.00000000006</v>
      </c>
      <c r="E39" s="15">
        <f>C39/E27</f>
        <v>24.39295718287315</v>
      </c>
      <c r="F39" s="15">
        <f>D39/E27</f>
        <v>9.1140456182473013</v>
      </c>
      <c r="G39" s="15">
        <f>E39+F39</f>
        <v>33.50700280112045</v>
      </c>
      <c r="H39" s="16">
        <f>E39+2*F39</f>
        <v>42.621048419367753</v>
      </c>
    </row>
    <row r="40" spans="2:10" x14ac:dyDescent="0.2">
      <c r="B40" s="6" t="str">
        <f>B9</f>
        <v>T17</v>
      </c>
      <c r="C40" s="33">
        <f t="shared" si="9"/>
        <v>425740</v>
      </c>
      <c r="D40" s="13">
        <f>D28*12</f>
        <v>227760.00000000006</v>
      </c>
      <c r="E40" s="15">
        <f>C40/E28</f>
        <v>21.33821170809944</v>
      </c>
      <c r="F40" s="15">
        <f>D40/E28</f>
        <v>11.41539695268645</v>
      </c>
      <c r="G40" s="15">
        <f t="shared" ref="G40:G45" si="10">E40+F40</f>
        <v>32.753608660785886</v>
      </c>
      <c r="H40" s="16">
        <f t="shared" ref="H40:H45" si="11">E40+2*F40</f>
        <v>44.169005613472336</v>
      </c>
    </row>
    <row r="41" spans="2:10" x14ac:dyDescent="0.2">
      <c r="B41" s="6" t="str">
        <f>B10</f>
        <v>S9</v>
      </c>
      <c r="C41" s="33">
        <f>C29+G29</f>
        <v>188180</v>
      </c>
      <c r="D41" s="13">
        <f>D29*12</f>
        <v>227760.00000000006</v>
      </c>
      <c r="E41" s="15">
        <f>C41/E29</f>
        <v>13.177871148459383</v>
      </c>
      <c r="F41" s="15">
        <f>D41/E29</f>
        <v>15.949579831932777</v>
      </c>
      <c r="G41" s="15">
        <f t="shared" si="10"/>
        <v>29.127450980392162</v>
      </c>
      <c r="H41" s="16">
        <f t="shared" si="11"/>
        <v>45.077030812324935</v>
      </c>
    </row>
    <row r="42" spans="2:10" x14ac:dyDescent="0.2">
      <c r="B42" s="6" t="str">
        <f t="shared" ref="B42:B45" si="12">B11</f>
        <v>S19</v>
      </c>
      <c r="C42" s="33">
        <f t="shared" si="9"/>
        <v>749980</v>
      </c>
      <c r="D42" s="33">
        <f>D30*12</f>
        <v>227760.00000000006</v>
      </c>
      <c r="E42" s="34">
        <f>C42/E30</f>
        <v>26.054542296334898</v>
      </c>
      <c r="F42" s="34">
        <f>D42/E30</f>
        <v>7.9124544033350723</v>
      </c>
      <c r="G42" s="34">
        <f t="shared" si="10"/>
        <v>33.96699669966997</v>
      </c>
      <c r="H42" s="16">
        <f t="shared" si="11"/>
        <v>41.879451103005039</v>
      </c>
    </row>
    <row r="43" spans="2:10" x14ac:dyDescent="0.2">
      <c r="B43" s="6" t="str">
        <f t="shared" si="12"/>
        <v>M20s</v>
      </c>
      <c r="C43" s="33">
        <f t="shared" si="9"/>
        <v>385300</v>
      </c>
      <c r="D43" s="33">
        <f>D31*12</f>
        <v>227760.00000000006</v>
      </c>
      <c r="E43" s="34">
        <f>C43/E31</f>
        <v>18.4089823220258</v>
      </c>
      <c r="F43" s="34">
        <f>D43/E31</f>
        <v>10.881987577639755</v>
      </c>
      <c r="G43" s="34">
        <f t="shared" si="10"/>
        <v>29.290969899665555</v>
      </c>
      <c r="H43" s="16">
        <f t="shared" si="11"/>
        <v>40.17295747730531</v>
      </c>
    </row>
    <row r="44" spans="2:10" x14ac:dyDescent="0.2">
      <c r="B44" s="6" t="str">
        <f t="shared" si="12"/>
        <v>M31s</v>
      </c>
      <c r="C44" s="33">
        <f t="shared" si="9"/>
        <v>619660</v>
      </c>
      <c r="D44" s="33">
        <f t="shared" ref="D44:D45" si="13">D32*12</f>
        <v>227760.00000000006</v>
      </c>
      <c r="E44" s="34">
        <f t="shared" ref="E44:E45" si="14">C44/E32</f>
        <v>26.132759784075574</v>
      </c>
      <c r="F44" s="34">
        <f t="shared" ref="F44:F45" si="15">D44/E32</f>
        <v>9.6052631578947398</v>
      </c>
      <c r="G44" s="34">
        <f t="shared" si="10"/>
        <v>35.738022941970314</v>
      </c>
      <c r="H44" s="16">
        <f t="shared" si="11"/>
        <v>45.343286099865054</v>
      </c>
    </row>
    <row r="45" spans="2:10" x14ac:dyDescent="0.2">
      <c r="B45" s="6" t="str">
        <f t="shared" si="12"/>
        <v>M30s+</v>
      </c>
      <c r="C45" s="33">
        <f t="shared" ref="C45" si="16">C33+G33</f>
        <v>871660</v>
      </c>
      <c r="D45" s="33">
        <f t="shared" si="13"/>
        <v>227760.00000000006</v>
      </c>
      <c r="E45" s="34">
        <f t="shared" si="14"/>
        <v>29.64829931972789</v>
      </c>
      <c r="F45" s="34">
        <f t="shared" si="15"/>
        <v>7.7469387755102064</v>
      </c>
      <c r="G45" s="34">
        <f t="shared" si="10"/>
        <v>37.395238095238099</v>
      </c>
      <c r="H45" s="16">
        <f t="shared" si="11"/>
        <v>45.142176870748301</v>
      </c>
    </row>
    <row r="49" spans="2:10" x14ac:dyDescent="0.2">
      <c r="B49" s="69" t="s">
        <v>130</v>
      </c>
      <c r="C49" s="69" t="s">
        <v>141</v>
      </c>
      <c r="D49" s="32"/>
      <c r="E49" s="150" t="s">
        <v>150</v>
      </c>
      <c r="F49" s="151"/>
      <c r="G49" s="32"/>
      <c r="H49" s="32"/>
      <c r="I49" s="32"/>
      <c r="J49" s="32"/>
    </row>
    <row r="50" spans="2:10" x14ac:dyDescent="0.2">
      <c r="B50" s="80" t="s">
        <v>131</v>
      </c>
      <c r="C50" s="33">
        <v>25000</v>
      </c>
      <c r="D50" s="32"/>
      <c r="E50" s="151"/>
      <c r="F50" s="151"/>
      <c r="G50" s="31"/>
      <c r="H50" s="31"/>
      <c r="I50" s="31"/>
      <c r="J50" s="31"/>
    </row>
    <row r="51" spans="2:10" x14ac:dyDescent="0.2">
      <c r="B51" s="80" t="s">
        <v>132</v>
      </c>
      <c r="C51" s="33">
        <v>40000</v>
      </c>
      <c r="D51" s="32"/>
      <c r="E51" s="151"/>
      <c r="F51" s="151"/>
      <c r="G51" s="31"/>
      <c r="H51" s="31"/>
      <c r="I51" s="31"/>
      <c r="J51" s="31"/>
    </row>
    <row r="52" spans="2:10" x14ac:dyDescent="0.2">
      <c r="B52" s="80"/>
      <c r="C52" s="33"/>
      <c r="D52" s="32"/>
      <c r="E52" s="151"/>
      <c r="F52" s="151"/>
      <c r="G52" s="31"/>
      <c r="H52" s="31"/>
      <c r="I52" s="31"/>
      <c r="J52" s="31"/>
    </row>
    <row r="53" spans="2:10" x14ac:dyDescent="0.2">
      <c r="B53" s="80"/>
      <c r="C53" s="33"/>
      <c r="D53" s="32"/>
      <c r="E53" s="151"/>
      <c r="F53" s="151"/>
      <c r="G53" s="31"/>
      <c r="H53" s="31"/>
      <c r="I53" s="31"/>
      <c r="J53" s="31"/>
    </row>
    <row r="56" spans="2:10" x14ac:dyDescent="0.2">
      <c r="B56" s="69" t="s">
        <v>137</v>
      </c>
      <c r="C56" s="69" t="s">
        <v>140</v>
      </c>
    </row>
    <row r="57" spans="2:10" x14ac:dyDescent="0.2">
      <c r="B57" s="102" t="s">
        <v>138</v>
      </c>
      <c r="C57" s="33">
        <f>45000/2</f>
        <v>22500</v>
      </c>
    </row>
    <row r="58" spans="2:10" x14ac:dyDescent="0.2">
      <c r="B58" s="102" t="s">
        <v>139</v>
      </c>
      <c r="C58" s="33">
        <v>18000</v>
      </c>
    </row>
    <row r="59" spans="2:10" s="31" customFormat="1" x14ac:dyDescent="0.2">
      <c r="B59" s="102" t="s">
        <v>182</v>
      </c>
      <c r="C59" s="33">
        <v>10000</v>
      </c>
    </row>
    <row r="60" spans="2:10" s="31" customFormat="1" x14ac:dyDescent="0.2">
      <c r="B60" s="102" t="s">
        <v>183</v>
      </c>
      <c r="C60" s="33">
        <v>20000</v>
      </c>
    </row>
    <row r="62" spans="2:10" x14ac:dyDescent="0.2">
      <c r="B62" s="148" t="s">
        <v>148</v>
      </c>
      <c r="C62" s="147" t="s">
        <v>14</v>
      </c>
      <c r="D62" s="147"/>
      <c r="E62" s="147"/>
      <c r="F62" s="147"/>
      <c r="G62" s="147"/>
      <c r="H62" s="147"/>
    </row>
    <row r="63" spans="2:10" x14ac:dyDescent="0.2">
      <c r="B63" s="149"/>
      <c r="C63" s="104" t="s">
        <v>142</v>
      </c>
      <c r="D63" s="104" t="s">
        <v>143</v>
      </c>
      <c r="E63" s="104" t="s">
        <v>144</v>
      </c>
      <c r="F63" s="104" t="s">
        <v>125</v>
      </c>
      <c r="G63" s="104" t="s">
        <v>126</v>
      </c>
      <c r="H63" s="104" t="s">
        <v>145</v>
      </c>
    </row>
    <row r="64" spans="2:10" x14ac:dyDescent="0.2">
      <c r="B64" s="105" t="s">
        <v>146</v>
      </c>
      <c r="C64" s="103">
        <v>650</v>
      </c>
      <c r="D64" s="103">
        <v>300</v>
      </c>
      <c r="E64" s="103">
        <v>300</v>
      </c>
      <c r="F64" s="103">
        <v>350</v>
      </c>
      <c r="G64" s="103">
        <v>350</v>
      </c>
      <c r="H64" s="103">
        <v>350</v>
      </c>
    </row>
    <row r="65" spans="2:8" x14ac:dyDescent="0.2">
      <c r="B65" s="105" t="s">
        <v>149</v>
      </c>
      <c r="C65" s="103">
        <v>468</v>
      </c>
      <c r="D65" s="103">
        <v>840</v>
      </c>
      <c r="E65" s="103">
        <v>983.25</v>
      </c>
      <c r="F65" s="103">
        <v>1142.4000000000001</v>
      </c>
      <c r="G65" s="103">
        <v>1117.2</v>
      </c>
      <c r="H65" s="103">
        <v>1190</v>
      </c>
    </row>
    <row r="66" spans="2:8" x14ac:dyDescent="0.2">
      <c r="B66" s="105" t="s">
        <v>147</v>
      </c>
      <c r="C66" s="103">
        <v>1300</v>
      </c>
      <c r="D66" s="103">
        <v>600</v>
      </c>
      <c r="E66" s="103">
        <v>600</v>
      </c>
      <c r="F66" s="103">
        <v>700</v>
      </c>
      <c r="G66" s="103">
        <v>700</v>
      </c>
      <c r="H66" s="103">
        <v>700</v>
      </c>
    </row>
    <row r="67" spans="2:8" x14ac:dyDescent="0.2">
      <c r="B67" s="105" t="s">
        <v>149</v>
      </c>
      <c r="C67" s="103">
        <v>936</v>
      </c>
      <c r="D67" s="103">
        <v>1680</v>
      </c>
      <c r="E67" s="103">
        <v>1966.5</v>
      </c>
      <c r="F67" s="103">
        <v>2284.8000000000002</v>
      </c>
      <c r="G67" s="103">
        <v>2234.4</v>
      </c>
      <c r="H67" s="103">
        <v>2380</v>
      </c>
    </row>
    <row r="68" spans="2:8" x14ac:dyDescent="0.2">
      <c r="B68" s="31"/>
      <c r="C68" s="31"/>
      <c r="D68" s="31"/>
      <c r="E68" s="31"/>
      <c r="F68" s="31"/>
      <c r="G68" s="31"/>
      <c r="H68" s="31"/>
    </row>
  </sheetData>
  <sheetProtection selectLockedCells="1" selectUnlockedCells="1"/>
  <mergeCells count="13">
    <mergeCell ref="C62:H62"/>
    <mergeCell ref="B62:B63"/>
    <mergeCell ref="E49:F53"/>
    <mergeCell ref="B37:B38"/>
    <mergeCell ref="C37:H37"/>
    <mergeCell ref="B35:H35"/>
    <mergeCell ref="B6:F6"/>
    <mergeCell ref="G6:H6"/>
    <mergeCell ref="B16:F16"/>
    <mergeCell ref="B2:I2"/>
    <mergeCell ref="C25:H25"/>
    <mergeCell ref="G17:I22"/>
    <mergeCell ref="B25:B26"/>
  </mergeCells>
  <dataValidations count="1">
    <dataValidation type="list" allowBlank="1" showInputMessage="1" showErrorMessage="1" sqref="H27:H33" xr:uid="{29706BEA-13F0-490A-9696-1DADAE7476A6}">
      <formula1>$B$50:$B$54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451C-7B97-4ECD-9921-20B8E92611C8}">
  <sheetPr>
    <tabColor rgb="FF92D050"/>
  </sheetPr>
  <dimension ref="B1:P45"/>
  <sheetViews>
    <sheetView topLeftCell="D3" zoomScale="110" zoomScaleNormal="110" workbookViewId="0">
      <selection activeCell="A33" sqref="A33:XFD33"/>
    </sheetView>
  </sheetViews>
  <sheetFormatPr defaultRowHeight="12.75" x14ac:dyDescent="0.2"/>
  <cols>
    <col min="1" max="1" width="4" style="31" customWidth="1"/>
    <col min="2" max="2" width="26.140625" style="31" bestFit="1" customWidth="1"/>
    <col min="3" max="3" width="24.85546875" style="31" bestFit="1" customWidth="1"/>
    <col min="4" max="4" width="21.5703125" style="31" bestFit="1" customWidth="1"/>
    <col min="5" max="15" width="13.28515625" style="31" bestFit="1" customWidth="1"/>
    <col min="16" max="16384" width="9.140625" style="31"/>
  </cols>
  <sheetData>
    <row r="1" spans="2:15" x14ac:dyDescent="0.2">
      <c r="B1" s="157" t="s">
        <v>158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</row>
    <row r="2" spans="2:15" x14ac:dyDescent="0.2"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</row>
    <row r="3" spans="2:15" x14ac:dyDescent="0.2">
      <c r="B3" s="159" t="s">
        <v>179</v>
      </c>
      <c r="C3" s="159"/>
      <c r="D3" s="159"/>
    </row>
    <row r="4" spans="2:15" x14ac:dyDescent="0.2">
      <c r="B4" s="69" t="s">
        <v>160</v>
      </c>
      <c r="C4" s="69" t="s">
        <v>5</v>
      </c>
      <c r="D4" s="69" t="s">
        <v>157</v>
      </c>
    </row>
    <row r="5" spans="2:15" x14ac:dyDescent="0.2">
      <c r="B5" s="120" t="str">
        <f>'Analyzier - Inputs'!B8</f>
        <v>S17</v>
      </c>
      <c r="C5" s="114">
        <f>ROUND(('Analyzier - Inputs'!G8),0)</f>
        <v>21</v>
      </c>
      <c r="D5" s="115">
        <f>ROUND((('Analyzier - Inputs'!F8/'Analyzier - Inputs'!E8)),0)</f>
        <v>40</v>
      </c>
    </row>
    <row r="6" spans="2:15" x14ac:dyDescent="0.2">
      <c r="B6" s="120" t="str">
        <f>'Analyzier - Inputs'!B9</f>
        <v>T17</v>
      </c>
      <c r="C6" s="114">
        <f>ROUND(('Analyzier - Inputs'!G9),0)</f>
        <v>17</v>
      </c>
      <c r="D6" s="115">
        <f>ROUND((('Analyzier - Inputs'!F9/'Analyzier - Inputs'!E9)),0)</f>
        <v>50</v>
      </c>
    </row>
    <row r="7" spans="2:15" x14ac:dyDescent="0.2">
      <c r="B7" s="120" t="str">
        <f>'Analyzier - Inputs'!B10</f>
        <v>S9</v>
      </c>
      <c r="C7" s="114">
        <f>ROUND(('Analyzier - Inputs'!G10),0)</f>
        <v>6</v>
      </c>
      <c r="D7" s="115">
        <f>ROUND((('Analyzier - Inputs'!F10/'Analyzier - Inputs'!E10)),0)</f>
        <v>70</v>
      </c>
    </row>
    <row r="8" spans="2:15" x14ac:dyDescent="0.2">
      <c r="B8" s="120" t="str">
        <f>'Analyzier - Inputs'!B11</f>
        <v>S19</v>
      </c>
      <c r="C8" s="114">
        <f>ROUND(('Analyzier - Inputs'!G11),0)</f>
        <v>23</v>
      </c>
      <c r="D8" s="115">
        <f>ROUND((('Analyzier - Inputs'!F11/'Analyzier - Inputs'!E11)),0)</f>
        <v>35</v>
      </c>
    </row>
    <row r="9" spans="2:15" x14ac:dyDescent="0.2">
      <c r="B9" s="120" t="str">
        <f>'Analyzier - Inputs'!B12</f>
        <v>M20s</v>
      </c>
      <c r="C9" s="114">
        <f>ROUND(('Analyzier - Inputs'!G12),0)</f>
        <v>14</v>
      </c>
      <c r="D9" s="115">
        <f>ROUND((('Analyzier - Inputs'!F12/'Analyzier - Inputs'!E12)),0)</f>
        <v>48</v>
      </c>
    </row>
    <row r="10" spans="2:15" x14ac:dyDescent="0.2">
      <c r="B10" s="120" t="str">
        <f>'Analyzier - Inputs'!B13</f>
        <v>M31s</v>
      </c>
      <c r="C10" s="114">
        <f>ROUND(('Analyzier - Inputs'!G13),0)</f>
        <v>22</v>
      </c>
      <c r="D10" s="115">
        <f>ROUND((('Analyzier - Inputs'!F13/'Analyzier - Inputs'!E13)),0)</f>
        <v>42</v>
      </c>
    </row>
    <row r="11" spans="2:15" x14ac:dyDescent="0.2">
      <c r="B11" s="120" t="str">
        <f>'Analyzier - Inputs'!B14</f>
        <v>M30s+</v>
      </c>
      <c r="C11" s="114">
        <f>ROUND(('Analyzier - Inputs'!G14),0)</f>
        <v>26</v>
      </c>
      <c r="D11" s="115">
        <f>ROUND((('Analyzier - Inputs'!F14/'Analyzier - Inputs'!E14)),0)</f>
        <v>34</v>
      </c>
    </row>
    <row r="23" spans="2:15" x14ac:dyDescent="0.2">
      <c r="B23" s="127" t="s">
        <v>180</v>
      </c>
    </row>
    <row r="24" spans="2:15" x14ac:dyDescent="0.2">
      <c r="B24" s="126" t="s">
        <v>161</v>
      </c>
      <c r="C24" s="126" t="s">
        <v>164</v>
      </c>
    </row>
    <row r="25" spans="2:15" x14ac:dyDescent="0.2">
      <c r="B25" s="69" t="s">
        <v>163</v>
      </c>
      <c r="C25" s="123">
        <v>115000000</v>
      </c>
    </row>
    <row r="26" spans="2:15" x14ac:dyDescent="0.2">
      <c r="B26" s="69" t="s">
        <v>162</v>
      </c>
      <c r="C26" s="124">
        <f>ROUNDUP(($C$25/((VLOOKUP(C27,'Cash Flow - DC Operation'!$B$3:$G$59,6,0))*6*24*(1+'Analyzier - Inputs'!$D$4))),0)</f>
        <v>122864</v>
      </c>
    </row>
    <row r="27" spans="2:15" x14ac:dyDescent="0.2">
      <c r="B27" s="69" t="s">
        <v>165</v>
      </c>
      <c r="C27" s="125">
        <v>44013</v>
      </c>
    </row>
    <row r="28" spans="2:15" x14ac:dyDescent="0.2">
      <c r="B28" s="157" t="s">
        <v>159</v>
      </c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</row>
    <row r="29" spans="2:15" x14ac:dyDescent="0.2"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</row>
    <row r="30" spans="2:15" x14ac:dyDescent="0.2">
      <c r="B30" s="119" t="s">
        <v>160</v>
      </c>
      <c r="C30" s="119" t="s">
        <v>157</v>
      </c>
      <c r="D30" s="119" t="s">
        <v>178</v>
      </c>
      <c r="E30" s="118" t="s">
        <v>166</v>
      </c>
      <c r="F30" s="118" t="s">
        <v>167</v>
      </c>
      <c r="G30" s="118" t="s">
        <v>176</v>
      </c>
      <c r="H30" s="118" t="s">
        <v>168</v>
      </c>
      <c r="I30" s="118" t="s">
        <v>169</v>
      </c>
      <c r="J30" s="118" t="s">
        <v>170</v>
      </c>
      <c r="K30" s="118" t="s">
        <v>171</v>
      </c>
      <c r="L30" s="118" t="s">
        <v>172</v>
      </c>
      <c r="M30" s="118" t="s">
        <v>173</v>
      </c>
      <c r="N30" s="118" t="s">
        <v>174</v>
      </c>
      <c r="O30" s="118" t="s">
        <v>175</v>
      </c>
    </row>
    <row r="31" spans="2:15" x14ac:dyDescent="0.2">
      <c r="B31" s="120" t="str">
        <f>'Analyzier - Inputs'!B8</f>
        <v>S17</v>
      </c>
      <c r="C31" s="114">
        <f>ROUND((('Analyzier - Inputs'!F8/'Analyzier - Inputs'!E8)),0)</f>
        <v>40</v>
      </c>
      <c r="D31" s="115">
        <f>'Analyzier - Inputs'!E8</f>
        <v>70</v>
      </c>
      <c r="E31" s="47">
        <f t="shared" ref="E31:O31" si="0">(($C$26*$C31)/1000)*E$38*24</f>
        <v>2948.7360000000003</v>
      </c>
      <c r="F31" s="47">
        <f t="shared" si="0"/>
        <v>3184.6348800000005</v>
      </c>
      <c r="G31" s="47">
        <f t="shared" si="0"/>
        <v>3420.5337600000003</v>
      </c>
      <c r="H31" s="47">
        <f t="shared" si="0"/>
        <v>3656.43264</v>
      </c>
      <c r="I31" s="47">
        <f t="shared" si="0"/>
        <v>3892.3315200000006</v>
      </c>
      <c r="J31" s="47">
        <f t="shared" si="0"/>
        <v>4128.2304000000004</v>
      </c>
      <c r="K31" s="47">
        <f t="shared" si="0"/>
        <v>4364.1292800000001</v>
      </c>
      <c r="L31" s="47">
        <f t="shared" si="0"/>
        <v>4600.0281599999998</v>
      </c>
      <c r="M31" s="47">
        <f t="shared" si="0"/>
        <v>4835.9270400000005</v>
      </c>
      <c r="N31" s="47">
        <f t="shared" si="0"/>
        <v>5071.8259199999993</v>
      </c>
      <c r="O31" s="47">
        <f t="shared" si="0"/>
        <v>5307.7248</v>
      </c>
    </row>
    <row r="32" spans="2:15" x14ac:dyDescent="0.2">
      <c r="B32" s="120" t="str">
        <f>'Analyzier - Inputs'!B9</f>
        <v>T17</v>
      </c>
      <c r="C32" s="114">
        <f>ROUND((('Analyzier - Inputs'!F9/'Analyzier - Inputs'!E9)),0)</f>
        <v>50</v>
      </c>
      <c r="D32" s="115">
        <f>'Analyzier - Inputs'!E9</f>
        <v>58</v>
      </c>
      <c r="E32" s="47">
        <f t="shared" ref="E32:E37" si="1">(($C$26*C32)/1000)*E$38*24</f>
        <v>3685.92</v>
      </c>
      <c r="F32" s="47">
        <f t="shared" ref="F32:O37" si="2">(($C$26*$C32)/1000)*F$38*24</f>
        <v>3980.7936</v>
      </c>
      <c r="G32" s="47">
        <f t="shared" si="2"/>
        <v>4275.6671999999999</v>
      </c>
      <c r="H32" s="47">
        <f t="shared" si="2"/>
        <v>4570.5407999999998</v>
      </c>
      <c r="I32" s="47">
        <f t="shared" si="2"/>
        <v>4865.4144000000006</v>
      </c>
      <c r="J32" s="47">
        <f t="shared" si="2"/>
        <v>5160.2880000000005</v>
      </c>
      <c r="K32" s="47">
        <f t="shared" si="2"/>
        <v>5455.1615999999995</v>
      </c>
      <c r="L32" s="47">
        <f t="shared" si="2"/>
        <v>5750.0352000000003</v>
      </c>
      <c r="M32" s="47">
        <f t="shared" si="2"/>
        <v>6044.9088000000002</v>
      </c>
      <c r="N32" s="47">
        <f t="shared" si="2"/>
        <v>6339.7823999999982</v>
      </c>
      <c r="O32" s="47">
        <f t="shared" si="2"/>
        <v>6634.655999999999</v>
      </c>
    </row>
    <row r="33" spans="2:16" x14ac:dyDescent="0.2">
      <c r="B33" s="120" t="str">
        <f>'Analyzier - Inputs'!B10</f>
        <v>S9</v>
      </c>
      <c r="C33" s="114">
        <f>ROUND((('Analyzier - Inputs'!F10/'Analyzier - Inputs'!E10)),0)</f>
        <v>70</v>
      </c>
      <c r="D33" s="115">
        <f>'Analyzier - Inputs'!E10</f>
        <v>10</v>
      </c>
      <c r="E33" s="47">
        <f t="shared" si="1"/>
        <v>5160.2880000000005</v>
      </c>
      <c r="F33" s="177">
        <f>(($C$26*$C33)/1000)*F$38*24</f>
        <v>5573.1110399999998</v>
      </c>
      <c r="G33" s="47">
        <f t="shared" si="2"/>
        <v>5985.93408</v>
      </c>
      <c r="H33" s="47">
        <f t="shared" si="2"/>
        <v>6398.7571199999993</v>
      </c>
      <c r="I33" s="47">
        <f t="shared" si="2"/>
        <v>6811.5801599999995</v>
      </c>
      <c r="J33" s="47">
        <f t="shared" si="2"/>
        <v>7224.4031999999997</v>
      </c>
      <c r="K33" s="47">
        <f t="shared" si="2"/>
        <v>7637.2262399999981</v>
      </c>
      <c r="L33" s="47">
        <f t="shared" si="2"/>
        <v>8050.0492800000002</v>
      </c>
      <c r="M33" s="47">
        <f t="shared" si="2"/>
        <v>8462.8723200000004</v>
      </c>
      <c r="N33" s="47">
        <f t="shared" si="2"/>
        <v>8875.6953599999997</v>
      </c>
      <c r="O33" s="47">
        <f t="shared" si="2"/>
        <v>9288.518399999999</v>
      </c>
    </row>
    <row r="34" spans="2:16" x14ac:dyDescent="0.2">
      <c r="B34" s="120" t="str">
        <f>'Analyzier - Inputs'!B11</f>
        <v>S19</v>
      </c>
      <c r="C34" s="114">
        <f>ROUND((('Analyzier - Inputs'!F11/'Analyzier - Inputs'!E11)),0)</f>
        <v>35</v>
      </c>
      <c r="D34" s="115">
        <f>'Analyzier - Inputs'!E11</f>
        <v>95</v>
      </c>
      <c r="E34" s="47">
        <f t="shared" si="1"/>
        <v>2580.1440000000002</v>
      </c>
      <c r="F34" s="47">
        <f t="shared" si="2"/>
        <v>2786.5555199999999</v>
      </c>
      <c r="G34" s="47">
        <f t="shared" si="2"/>
        <v>2992.96704</v>
      </c>
      <c r="H34" s="47">
        <f t="shared" si="2"/>
        <v>3199.3785599999997</v>
      </c>
      <c r="I34" s="47">
        <f t="shared" si="2"/>
        <v>3405.7900799999998</v>
      </c>
      <c r="J34" s="47">
        <f t="shared" si="2"/>
        <v>3612.2015999999999</v>
      </c>
      <c r="K34" s="47">
        <f t="shared" si="2"/>
        <v>3818.6131199999991</v>
      </c>
      <c r="L34" s="47">
        <f t="shared" si="2"/>
        <v>4025.0246400000001</v>
      </c>
      <c r="M34" s="47">
        <f t="shared" si="2"/>
        <v>4231.4361600000002</v>
      </c>
      <c r="N34" s="47">
        <f t="shared" si="2"/>
        <v>4437.8476799999999</v>
      </c>
      <c r="O34" s="47">
        <f t="shared" si="2"/>
        <v>4644.2591999999995</v>
      </c>
    </row>
    <row r="35" spans="2:16" x14ac:dyDescent="0.2">
      <c r="B35" s="120" t="str">
        <f>'Analyzier - Inputs'!B12</f>
        <v>M20s</v>
      </c>
      <c r="C35" s="114">
        <f>ROUND((('Analyzier - Inputs'!F12/'Analyzier - Inputs'!E12)),0)</f>
        <v>48</v>
      </c>
      <c r="D35" s="115">
        <f>'Analyzier - Inputs'!E12</f>
        <v>65</v>
      </c>
      <c r="E35" s="47">
        <f t="shared" si="1"/>
        <v>3538.4832000000001</v>
      </c>
      <c r="F35" s="47">
        <f t="shared" si="2"/>
        <v>3821.5618559999998</v>
      </c>
      <c r="G35" s="47">
        <f t="shared" si="2"/>
        <v>4104.6405119999999</v>
      </c>
      <c r="H35" s="47">
        <f t="shared" si="2"/>
        <v>4387.7191679999996</v>
      </c>
      <c r="I35" s="47">
        <f t="shared" si="2"/>
        <v>4670.7978240000002</v>
      </c>
      <c r="J35" s="47">
        <f t="shared" si="2"/>
        <v>4953.8764800000008</v>
      </c>
      <c r="K35" s="47">
        <f t="shared" si="2"/>
        <v>5236.9551359999996</v>
      </c>
      <c r="L35" s="177">
        <f t="shared" si="2"/>
        <v>5520.0337920000002</v>
      </c>
      <c r="M35" s="47">
        <f t="shared" si="2"/>
        <v>5803.1124479999999</v>
      </c>
      <c r="N35" s="47">
        <f t="shared" si="2"/>
        <v>6086.1911039999995</v>
      </c>
      <c r="O35" s="47">
        <f t="shared" si="2"/>
        <v>6369.2697599999992</v>
      </c>
    </row>
    <row r="36" spans="2:16" x14ac:dyDescent="0.2">
      <c r="B36" s="120" t="str">
        <f>'Analyzier - Inputs'!B13</f>
        <v>M31s</v>
      </c>
      <c r="C36" s="114">
        <f>ROUND((('Analyzier - Inputs'!F13/'Analyzier - Inputs'!E13)),0)</f>
        <v>42</v>
      </c>
      <c r="D36" s="115">
        <f>'Analyzier - Inputs'!E13</f>
        <v>76</v>
      </c>
      <c r="E36" s="47">
        <f t="shared" si="1"/>
        <v>3096.1727999999994</v>
      </c>
      <c r="F36" s="47">
        <f t="shared" si="2"/>
        <v>3343.8666240000002</v>
      </c>
      <c r="G36" s="47">
        <f t="shared" si="2"/>
        <v>3591.5604479999997</v>
      </c>
      <c r="H36" s="47">
        <f t="shared" si="2"/>
        <v>3839.2542719999992</v>
      </c>
      <c r="I36" s="47">
        <f t="shared" si="2"/>
        <v>4086.9480960000001</v>
      </c>
      <c r="J36" s="47">
        <f t="shared" si="2"/>
        <v>4334.64192</v>
      </c>
      <c r="K36" s="47">
        <f t="shared" si="2"/>
        <v>4582.3357439999991</v>
      </c>
      <c r="L36" s="47">
        <f t="shared" si="2"/>
        <v>4830.0295679999999</v>
      </c>
      <c r="M36" s="47">
        <f t="shared" si="2"/>
        <v>5077.7233919999999</v>
      </c>
      <c r="N36" s="177">
        <f t="shared" si="2"/>
        <v>5325.4172159999989</v>
      </c>
      <c r="O36" s="47">
        <f t="shared" si="2"/>
        <v>5573.1110399999998</v>
      </c>
    </row>
    <row r="37" spans="2:16" x14ac:dyDescent="0.2">
      <c r="B37" s="120" t="str">
        <f>'Analyzier - Inputs'!B14</f>
        <v>M30s+</v>
      </c>
      <c r="C37" s="114">
        <f>ROUND((('Analyzier - Inputs'!F14/'Analyzier - Inputs'!E14)),0)</f>
        <v>34</v>
      </c>
      <c r="D37" s="115">
        <f>'Analyzier - Inputs'!E14</f>
        <v>100</v>
      </c>
      <c r="E37" s="47">
        <f t="shared" si="1"/>
        <v>2506.4256000000005</v>
      </c>
      <c r="F37" s="47">
        <f t="shared" si="2"/>
        <v>2706.939648</v>
      </c>
      <c r="G37" s="47">
        <f t="shared" si="2"/>
        <v>2907.453696</v>
      </c>
      <c r="H37" s="47">
        <f t="shared" si="2"/>
        <v>3107.9677440000005</v>
      </c>
      <c r="I37" s="47">
        <f t="shared" si="2"/>
        <v>3308.481792</v>
      </c>
      <c r="J37" s="47">
        <f t="shared" si="2"/>
        <v>3508.9958400000005</v>
      </c>
      <c r="K37" s="47">
        <f t="shared" si="2"/>
        <v>3709.5098880000005</v>
      </c>
      <c r="L37" s="47">
        <f t="shared" si="2"/>
        <v>3910.023936</v>
      </c>
      <c r="M37" s="47">
        <f t="shared" si="2"/>
        <v>4110.5379840000005</v>
      </c>
      <c r="N37" s="47">
        <f t="shared" si="2"/>
        <v>4311.0520319999996</v>
      </c>
      <c r="O37" s="47">
        <f t="shared" si="2"/>
        <v>4511.5660800000005</v>
      </c>
    </row>
    <row r="38" spans="2:16" x14ac:dyDescent="0.2">
      <c r="B38" s="159" t="s">
        <v>179</v>
      </c>
      <c r="C38" s="159"/>
      <c r="D38" s="159"/>
      <c r="E38" s="121">
        <v>2.5000000000000001E-2</v>
      </c>
      <c r="F38" s="121">
        <v>2.7E-2</v>
      </c>
      <c r="G38" s="121">
        <v>2.9000000000000001E-2</v>
      </c>
      <c r="H38" s="121">
        <v>3.1E-2</v>
      </c>
      <c r="I38" s="121">
        <v>3.3000000000000002E-2</v>
      </c>
      <c r="J38" s="121">
        <v>3.5000000000000003E-2</v>
      </c>
      <c r="K38" s="121">
        <v>3.6999999999999998E-2</v>
      </c>
      <c r="L38" s="121">
        <v>3.9E-2</v>
      </c>
      <c r="M38" s="121">
        <v>4.1000000000000002E-2</v>
      </c>
      <c r="N38" s="121">
        <v>4.2999999999999997E-2</v>
      </c>
      <c r="O38" s="121">
        <v>4.4999999999999998E-2</v>
      </c>
      <c r="P38" s="122" t="s">
        <v>177</v>
      </c>
    </row>
    <row r="39" spans="2:16" x14ac:dyDescent="0.2">
      <c r="F39" s="116"/>
      <c r="G39" s="116"/>
    </row>
    <row r="40" spans="2:16" x14ac:dyDescent="0.2">
      <c r="B40" s="128" t="s">
        <v>181</v>
      </c>
      <c r="E40" s="117"/>
      <c r="F40" s="117"/>
    </row>
    <row r="41" spans="2:16" x14ac:dyDescent="0.2">
      <c r="E41" s="116"/>
    </row>
    <row r="44" spans="2:16" x14ac:dyDescent="0.2">
      <c r="E44" s="32"/>
    </row>
    <row r="45" spans="2:16" x14ac:dyDescent="0.2">
      <c r="D45" s="116"/>
      <c r="E45" s="32"/>
    </row>
  </sheetData>
  <mergeCells count="4">
    <mergeCell ref="B1:O2"/>
    <mergeCell ref="B28:O29"/>
    <mergeCell ref="B3:D3"/>
    <mergeCell ref="B38:D3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198D2C-89B9-4896-AB76-BC79312CE966}">
          <x14:formula1>
            <xm:f>'Cash Flow - DC Operation'!$B$3:$B$60</xm:f>
          </x14:formula1>
          <xm:sqref>C27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5E81F-DE17-4FC8-B927-51F0A6B581E0}">
  <sheetPr>
    <tabColor theme="9"/>
  </sheetPr>
  <dimension ref="B1:H25"/>
  <sheetViews>
    <sheetView zoomScaleNormal="100" workbookViewId="0">
      <selection activeCell="A21" sqref="A21:XFD21"/>
    </sheetView>
  </sheetViews>
  <sheetFormatPr defaultColWidth="9.140625" defaultRowHeight="12.75" x14ac:dyDescent="0.2"/>
  <cols>
    <col min="1" max="1" width="3.140625" style="31" customWidth="1"/>
    <col min="2" max="2" width="29" style="31" bestFit="1" customWidth="1"/>
    <col min="3" max="3" width="33.140625" style="31" bestFit="1" customWidth="1"/>
    <col min="4" max="4" width="38" style="31" bestFit="1" customWidth="1"/>
    <col min="5" max="5" width="26.42578125" style="31" bestFit="1" customWidth="1"/>
    <col min="6" max="6" width="29.5703125" style="31" bestFit="1" customWidth="1"/>
    <col min="7" max="7" width="36.7109375" style="31" bestFit="1" customWidth="1"/>
    <col min="8" max="8" width="31.42578125" style="31" bestFit="1" customWidth="1"/>
    <col min="9" max="9" width="23.85546875" style="31" bestFit="1" customWidth="1"/>
    <col min="10" max="10" width="22" style="31" bestFit="1" customWidth="1"/>
    <col min="11" max="11" width="29.28515625" style="31" bestFit="1" customWidth="1"/>
    <col min="12" max="16384" width="9.140625" style="31"/>
  </cols>
  <sheetData>
    <row r="1" spans="2:8" ht="23.25" customHeight="1" thickBot="1" x14ac:dyDescent="0.25"/>
    <row r="2" spans="2:8" ht="18.75" thickBot="1" x14ac:dyDescent="0.3">
      <c r="B2" s="164" t="s">
        <v>109</v>
      </c>
      <c r="C2" s="165"/>
      <c r="D2" s="165"/>
      <c r="E2" s="165"/>
      <c r="F2" s="165"/>
      <c r="G2" s="165"/>
      <c r="H2" s="166"/>
    </row>
    <row r="3" spans="2:8" ht="18" x14ac:dyDescent="0.25">
      <c r="B3" s="22" t="s">
        <v>28</v>
      </c>
      <c r="C3" s="24" t="s">
        <v>29</v>
      </c>
      <c r="D3" s="23" t="s">
        <v>31</v>
      </c>
      <c r="E3" s="23" t="s">
        <v>32</v>
      </c>
      <c r="F3" s="54" t="s">
        <v>104</v>
      </c>
      <c r="G3" s="54" t="s">
        <v>118</v>
      </c>
      <c r="H3" s="54" t="s">
        <v>120</v>
      </c>
    </row>
    <row r="4" spans="2:8" ht="18.75" thickBot="1" x14ac:dyDescent="0.3">
      <c r="B4" s="55">
        <f>'Analyzier - Inputs'!$B$4</f>
        <v>1</v>
      </c>
      <c r="C4" s="56">
        <f>'Analyzier - Inputs'!$C$4</f>
        <v>115</v>
      </c>
      <c r="D4" s="57">
        <f>'Analyzier - Inputs'!$D$4</f>
        <v>0.04</v>
      </c>
      <c r="E4" s="58">
        <f>'Analyzier - Inputs'!$E$4</f>
        <v>9000</v>
      </c>
      <c r="F4" s="59">
        <f>'Analyzier - Inputs'!$F$4</f>
        <v>1</v>
      </c>
      <c r="G4" s="59">
        <f>'Analyzier - Inputs'!$G$4</f>
        <v>1</v>
      </c>
      <c r="H4" s="59">
        <f>'Analyzier - Inputs'!$H$4</f>
        <v>1</v>
      </c>
    </row>
    <row r="5" spans="2:8" x14ac:dyDescent="0.2">
      <c r="B5" s="2"/>
    </row>
    <row r="6" spans="2:8" ht="13.5" thickBot="1" x14ac:dyDescent="0.25">
      <c r="B6" s="2"/>
    </row>
    <row r="7" spans="2:8" ht="13.5" thickBot="1" x14ac:dyDescent="0.25">
      <c r="B7" s="160" t="s">
        <v>27</v>
      </c>
      <c r="C7" s="155"/>
      <c r="D7" s="156"/>
      <c r="E7" s="32"/>
      <c r="F7" s="32"/>
    </row>
    <row r="8" spans="2:8" x14ac:dyDescent="0.2">
      <c r="B8" s="6" t="s">
        <v>7</v>
      </c>
      <c r="C8" s="17">
        <f>'Analyzier - Inputs'!C17</f>
        <v>1.9E-2</v>
      </c>
      <c r="D8" s="51" t="s">
        <v>8</v>
      </c>
      <c r="F8" s="32"/>
    </row>
    <row r="9" spans="2:8" x14ac:dyDescent="0.2">
      <c r="B9" s="7" t="s">
        <v>9</v>
      </c>
      <c r="C9" s="17">
        <f>'Analyzier - Inputs'!C18</f>
        <v>4.0000000000000001E-3</v>
      </c>
      <c r="D9" s="52" t="s">
        <v>8</v>
      </c>
      <c r="F9" s="32"/>
    </row>
    <row r="10" spans="2:8" x14ac:dyDescent="0.2">
      <c r="B10" s="7" t="s">
        <v>10</v>
      </c>
      <c r="C10" s="17">
        <f>'Analyzier - Inputs'!C19</f>
        <v>2E-3</v>
      </c>
      <c r="D10" s="52" t="s">
        <v>8</v>
      </c>
    </row>
    <row r="11" spans="2:8" x14ac:dyDescent="0.2">
      <c r="B11" s="7" t="s">
        <v>11</v>
      </c>
      <c r="C11" s="17">
        <f>'Analyzier - Inputs'!C20</f>
        <v>1E-3</v>
      </c>
      <c r="D11" s="52" t="s">
        <v>8</v>
      </c>
    </row>
    <row r="12" spans="2:8" x14ac:dyDescent="0.2">
      <c r="B12" s="8" t="s">
        <v>12</v>
      </c>
      <c r="C12" s="17">
        <f>'Analyzier - Inputs'!C21</f>
        <v>0</v>
      </c>
      <c r="D12" s="9" t="s">
        <v>8</v>
      </c>
    </row>
    <row r="13" spans="2:8" ht="13.5" thickBot="1" x14ac:dyDescent="0.25">
      <c r="B13" s="5" t="s">
        <v>26</v>
      </c>
      <c r="C13" s="65">
        <f>'Analyzier - Inputs'!C22</f>
        <v>2.6000000000000002E-2</v>
      </c>
      <c r="D13" s="10" t="s">
        <v>13</v>
      </c>
    </row>
    <row r="14" spans="2:8" x14ac:dyDescent="0.2">
      <c r="B14" s="2"/>
    </row>
    <row r="15" spans="2:8" ht="13.5" thickBot="1" x14ac:dyDescent="0.25"/>
    <row r="16" spans="2:8" ht="15.75" x14ac:dyDescent="0.25">
      <c r="B16" s="161" t="s">
        <v>110</v>
      </c>
      <c r="C16" s="162"/>
      <c r="D16" s="162"/>
      <c r="E16" s="162"/>
      <c r="F16" s="162"/>
      <c r="G16" s="162"/>
      <c r="H16" s="163"/>
    </row>
    <row r="17" spans="2:8" ht="15" x14ac:dyDescent="0.25">
      <c r="B17" s="112" t="s">
        <v>33</v>
      </c>
      <c r="C17" s="112" t="s">
        <v>152</v>
      </c>
      <c r="D17" s="112" t="s">
        <v>153</v>
      </c>
      <c r="E17" s="113" t="s">
        <v>106</v>
      </c>
      <c r="F17" s="112" t="s">
        <v>154</v>
      </c>
      <c r="G17" s="112" t="s">
        <v>155</v>
      </c>
      <c r="H17" s="112" t="s">
        <v>156</v>
      </c>
    </row>
    <row r="18" spans="2:8" ht="15" x14ac:dyDescent="0.25">
      <c r="B18" s="106" t="s">
        <v>25</v>
      </c>
      <c r="C18" s="45" t="str">
        <f>"Project Size"&amp;" "&amp;$B$4&amp;" MW Miner Qtd"</f>
        <v>Project Size 1 MW Miner Qtd</v>
      </c>
      <c r="D18" s="45" t="str">
        <f>"Total HashPower-TH/s"&amp;" "&amp;$B$4&amp;" MW Miner Size"</f>
        <v>Total HashPower-TH/s 1 MW Miner Size</v>
      </c>
      <c r="E18" s="63" t="s">
        <v>115</v>
      </c>
      <c r="F18" s="63" t="s">
        <v>113</v>
      </c>
      <c r="G18" s="63" t="s">
        <v>116</v>
      </c>
      <c r="H18" s="109" t="s">
        <v>117</v>
      </c>
    </row>
    <row r="19" spans="2:8" ht="15" x14ac:dyDescent="0.25">
      <c r="B19" s="107" t="str">
        <f>'Analyzier - Inputs'!B8</f>
        <v>S17</v>
      </c>
      <c r="C19" s="85">
        <f>'Analyzier - Inputs'!H8</f>
        <v>357</v>
      </c>
      <c r="D19" s="44">
        <f>'Analyzier - Inputs'!E27</f>
        <v>24990</v>
      </c>
      <c r="E19" s="28">
        <f>'Analyzier - Inputs'!C39</f>
        <v>609580</v>
      </c>
      <c r="F19" s="53">
        <f>SUM('Cash Flow - DC Operation'!P3:P49)</f>
        <v>17</v>
      </c>
      <c r="G19" s="28">
        <f>'Cash Flow - DC Operation'!$N$4/(D19)</f>
        <v>1.356992</v>
      </c>
      <c r="H19" s="110">
        <f>'Cash Flow - DC Operation'!$L$4/(24*(365/12)*'Analyzier - Inputs'!$B$4)</f>
        <v>76.482795473496139</v>
      </c>
    </row>
    <row r="20" spans="2:8" ht="15" x14ac:dyDescent="0.25">
      <c r="B20" s="107" t="str">
        <f>'Analyzier - Inputs'!B9</f>
        <v>T17</v>
      </c>
      <c r="C20" s="85">
        <f>'Analyzier - Inputs'!H9</f>
        <v>344</v>
      </c>
      <c r="D20" s="44">
        <f>'Analyzier - Inputs'!E28</f>
        <v>19952</v>
      </c>
      <c r="E20" s="28">
        <f>'Analyzier - Inputs'!C40</f>
        <v>425740</v>
      </c>
      <c r="F20" s="53">
        <f>SUM('Cash Flow - DC Operation'!U3:U59)</f>
        <v>18</v>
      </c>
      <c r="G20" s="28">
        <f>'Cash Flow - DC Operation'!$S$4/D20</f>
        <v>1.1823759999999999</v>
      </c>
      <c r="H20" s="110">
        <f>'Cash Flow - DC Operation'!$Q$4/(24*(365/12)*'Analyzier - Inputs'!$B$4)</f>
        <v>61.063814937462773</v>
      </c>
    </row>
    <row r="21" spans="2:8" ht="15" x14ac:dyDescent="0.25">
      <c r="B21" s="107" t="str">
        <f>'Analyzier - Inputs'!B10</f>
        <v>S9</v>
      </c>
      <c r="C21" s="85">
        <f>'Analyzier - Inputs'!H10</f>
        <v>1428</v>
      </c>
      <c r="D21" s="44">
        <f>'Analyzier - Inputs'!E29</f>
        <v>14280</v>
      </c>
      <c r="E21" s="28">
        <f>'Analyzier - Inputs'!C41</f>
        <v>188180</v>
      </c>
      <c r="F21" s="53">
        <f>SUM('Cash Flow - DC Operation'!Z3:Z59)</f>
        <v>15</v>
      </c>
      <c r="G21" s="28">
        <f>'Cash Flow - DC Operation'!$X$4/D21</f>
        <v>0.83314400000000022</v>
      </c>
      <c r="H21" s="110">
        <f>'Cash Flow - DC Operation'!$V$4/(24*(365/12)*'Analyzier - Inputs'!$B$4)</f>
        <v>43.704454556283508</v>
      </c>
    </row>
    <row r="22" spans="2:8" ht="15" x14ac:dyDescent="0.25">
      <c r="B22" s="107" t="str">
        <f>'Analyzier - Inputs'!B11</f>
        <v>S19</v>
      </c>
      <c r="C22" s="85">
        <f>'Analyzier - Inputs'!H11</f>
        <v>303</v>
      </c>
      <c r="D22" s="44">
        <f>'Analyzier - Inputs'!E30</f>
        <v>28785</v>
      </c>
      <c r="E22" s="28">
        <f>'Analyzier - Inputs'!C42</f>
        <v>749980</v>
      </c>
      <c r="F22" s="53">
        <f>SUM('Cash Flow - DC Operation'!AE3:AE59)</f>
        <v>17</v>
      </c>
      <c r="G22" s="28">
        <f>'Cash Flow - DC Operation'!$AC$4/D22</f>
        <v>1.4488951578947369</v>
      </c>
      <c r="H22" s="110">
        <f>'Cash Flow - DC Operation'!$AA$4/(24*(365/12)*'Analyzier - Inputs'!$B$4)</f>
        <v>88.097529720071478</v>
      </c>
    </row>
    <row r="23" spans="2:8" ht="15.75" thickBot="1" x14ac:dyDescent="0.3">
      <c r="B23" s="108" t="str">
        <f>'Analyzier - Inputs'!B12</f>
        <v>M20s</v>
      </c>
      <c r="C23" s="85">
        <f>'Analyzier - Inputs'!H12</f>
        <v>322</v>
      </c>
      <c r="D23" s="44">
        <f>'Analyzier - Inputs'!E31</f>
        <v>20930</v>
      </c>
      <c r="E23" s="28">
        <f>'Analyzier - Inputs'!C43</f>
        <v>385300</v>
      </c>
      <c r="F23" s="62">
        <f>SUM('Cash Flow - DC Operation'!AJ3:AJ59)</f>
        <v>15</v>
      </c>
      <c r="G23" s="64">
        <f>'Cash Flow - DC Operation'!$AH$4/D23</f>
        <v>1.2226720000000004</v>
      </c>
      <c r="H23" s="111">
        <f>'Cash Flow - DC Operation'!$AF$4/(24*(365/12)*'Analyzier - Inputs'!$B$4)</f>
        <v>64.0570191780822</v>
      </c>
    </row>
    <row r="24" spans="2:8" ht="15.75" thickBot="1" x14ac:dyDescent="0.3">
      <c r="B24" s="108" t="str">
        <f>'Analyzier - Inputs'!B13</f>
        <v>M31s</v>
      </c>
      <c r="C24" s="85">
        <f>'Analyzier - Inputs'!H13</f>
        <v>312</v>
      </c>
      <c r="D24" s="44">
        <f>'Analyzier - Inputs'!E32</f>
        <v>23712</v>
      </c>
      <c r="E24" s="28">
        <f>'Analyzier - Inputs'!C44</f>
        <v>619660</v>
      </c>
      <c r="F24" s="53">
        <f>SUM('Cash Flow - DC Operation'!AO3:AO59)</f>
        <v>18</v>
      </c>
      <c r="G24" s="64">
        <f>'Cash Flow - DC Operation'!$AM$4/D24</f>
        <v>1.4351934973302827</v>
      </c>
      <c r="H24" s="111">
        <f>'Cash Flow - DC Operation'!$AK$4/(24*(365/12)*'Analyzier - Inputs'!$B$4)</f>
        <v>72.571430422870776</v>
      </c>
    </row>
    <row r="25" spans="2:8" ht="15.75" thickBot="1" x14ac:dyDescent="0.3">
      <c r="B25" s="108" t="str">
        <f>'Analyzier - Inputs'!B14</f>
        <v>M30s+</v>
      </c>
      <c r="C25" s="85">
        <f>'Analyzier - Inputs'!H14</f>
        <v>294</v>
      </c>
      <c r="D25" s="44">
        <f>'Analyzier - Inputs'!E33</f>
        <v>29400</v>
      </c>
      <c r="E25" s="28">
        <f>'Analyzier - Inputs'!C45</f>
        <v>871660</v>
      </c>
      <c r="F25" s="53">
        <f>SUM('Cash Flow - DC Operation'!AT3:AT59)</f>
        <v>18</v>
      </c>
      <c r="G25" s="64">
        <f>'Cash Flow - DC Operation'!$AR$4/D25</f>
        <v>1.5897751138716358</v>
      </c>
      <c r="H25" s="111">
        <f>'Cash Flow - DC Operation'!$AP$4/(24*(365/12)*'Analyzier - Inputs'!$B$4)</f>
        <v>89.979759380583687</v>
      </c>
    </row>
  </sheetData>
  <sheetProtection selectLockedCells="1" selectUnlockedCells="1"/>
  <mergeCells count="3">
    <mergeCell ref="B7:D7"/>
    <mergeCell ref="B16:H16"/>
    <mergeCell ref="B2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Group Box 3">
              <controlPr defaultSize="0" autoFill="0" autoPict="0" altText="GENERAL INFO">
                <anchor moveWithCells="1">
                  <from>
                    <xdr:col>0</xdr:col>
                    <xdr:colOff>142875</xdr:colOff>
                    <xdr:row>0</xdr:row>
                    <xdr:rowOff>152400</xdr:rowOff>
                  </from>
                  <to>
                    <xdr:col>8</xdr:col>
                    <xdr:colOff>28575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0C9F-2475-437C-9D2E-7109F4FB669A}">
  <sheetPr>
    <tabColor theme="2" tint="-0.249977111117893"/>
  </sheetPr>
  <dimension ref="A1:AT62"/>
  <sheetViews>
    <sheetView topLeftCell="A9" zoomScale="80" zoomScaleNormal="80" workbookViewId="0">
      <selection activeCell="J53" sqref="J53"/>
    </sheetView>
  </sheetViews>
  <sheetFormatPr defaultRowHeight="12.75" x14ac:dyDescent="0.2"/>
  <cols>
    <col min="3" max="3" width="11.28515625" bestFit="1" customWidth="1"/>
    <col min="5" max="5" width="21" bestFit="1" customWidth="1"/>
    <col min="6" max="6" width="11.28515625" bestFit="1" customWidth="1"/>
    <col min="7" max="7" width="12.42578125" bestFit="1" customWidth="1"/>
    <col min="8" max="8" width="25.85546875" bestFit="1" customWidth="1"/>
    <col min="9" max="9" width="24.140625" bestFit="1" customWidth="1"/>
    <col min="10" max="10" width="21.28515625" bestFit="1" customWidth="1"/>
    <col min="11" max="11" width="22.85546875" customWidth="1"/>
    <col min="12" max="12" width="22.140625" bestFit="1" customWidth="1"/>
    <col min="13" max="13" width="19.28515625" bestFit="1" customWidth="1"/>
    <col min="14" max="14" width="20.7109375" bestFit="1" customWidth="1"/>
    <col min="15" max="15" width="18.85546875" bestFit="1" customWidth="1"/>
    <col min="16" max="16" width="20.7109375" bestFit="1" customWidth="1"/>
    <col min="17" max="17" width="16.7109375" bestFit="1" customWidth="1"/>
    <col min="18" max="18" width="14.28515625" bestFit="1" customWidth="1"/>
    <col min="19" max="19" width="16.28515625" bestFit="1" customWidth="1"/>
    <col min="20" max="20" width="16" bestFit="1" customWidth="1"/>
    <col min="21" max="21" width="15.5703125" bestFit="1" customWidth="1"/>
    <col min="22" max="22" width="17.85546875" bestFit="1" customWidth="1"/>
    <col min="23" max="23" width="15" bestFit="1" customWidth="1"/>
    <col min="24" max="24" width="16.42578125" bestFit="1" customWidth="1"/>
    <col min="25" max="25" width="16" bestFit="1" customWidth="1"/>
    <col min="26" max="26" width="16.5703125" bestFit="1" customWidth="1"/>
    <col min="27" max="27" width="17.7109375" bestFit="1" customWidth="1"/>
    <col min="28" max="28" width="14.85546875" bestFit="1" customWidth="1"/>
    <col min="29" max="29" width="16.28515625" bestFit="1" customWidth="1"/>
    <col min="30" max="30" width="17" bestFit="1" customWidth="1"/>
    <col min="31" max="31" width="16.28515625" bestFit="1" customWidth="1"/>
    <col min="32" max="32" width="17.85546875" bestFit="1" customWidth="1"/>
    <col min="33" max="33" width="15" bestFit="1" customWidth="1"/>
    <col min="34" max="34" width="16.42578125" bestFit="1" customWidth="1"/>
    <col min="35" max="35" width="17" bestFit="1" customWidth="1"/>
    <col min="36" max="36" width="16.5703125" bestFit="1" customWidth="1"/>
    <col min="37" max="37" width="19.28515625" bestFit="1" customWidth="1"/>
    <col min="38" max="38" width="16.28515625" bestFit="1" customWidth="1"/>
    <col min="39" max="39" width="19.28515625" bestFit="1" customWidth="1"/>
    <col min="40" max="40" width="20.7109375" customWidth="1"/>
    <col min="41" max="41" width="18" bestFit="1" customWidth="1"/>
    <col min="42" max="42" width="19.28515625" bestFit="1" customWidth="1"/>
    <col min="43" max="43" width="16.28515625" bestFit="1" customWidth="1"/>
    <col min="44" max="45" width="19.28515625" bestFit="1" customWidth="1"/>
    <col min="46" max="46" width="18" bestFit="1" customWidth="1"/>
  </cols>
  <sheetData>
    <row r="1" spans="1:46" ht="15.75" x14ac:dyDescent="0.25">
      <c r="A1" s="170" t="s">
        <v>36</v>
      </c>
      <c r="B1" s="170"/>
      <c r="C1" s="170"/>
      <c r="D1" s="170"/>
      <c r="E1" s="171" t="s">
        <v>105</v>
      </c>
      <c r="F1" s="171"/>
      <c r="G1" s="171"/>
      <c r="H1" s="171"/>
      <c r="I1" s="171"/>
      <c r="J1" s="171"/>
      <c r="K1" s="171"/>
      <c r="L1" s="172" t="str">
        <f>"FINANCIALS OF   "&amp;'Analyzier - Inputs'!$B$8</f>
        <v>FINANCIALS OF   S17</v>
      </c>
      <c r="M1" s="172"/>
      <c r="N1" s="172"/>
      <c r="O1" s="172"/>
      <c r="P1" s="172"/>
      <c r="Q1" s="173" t="str">
        <f>"FINANCIALS OF   "&amp;'Analyzier - Inputs'!$B$9</f>
        <v>FINANCIALS OF   T17</v>
      </c>
      <c r="R1" s="173"/>
      <c r="S1" s="173"/>
      <c r="T1" s="173"/>
      <c r="U1" s="173"/>
      <c r="V1" s="174" t="str">
        <f>"FINANCIALS OF   "&amp;'Analyzier - Inputs'!$B$10</f>
        <v>FINANCIALS OF   S9</v>
      </c>
      <c r="W1" s="174"/>
      <c r="X1" s="174"/>
      <c r="Y1" s="174"/>
      <c r="Z1" s="174"/>
      <c r="AA1" s="175" t="str">
        <f>"FINANCIALS OF   "&amp;'Analyzier - Inputs'!$B$11</f>
        <v>FINANCIALS OF   S19</v>
      </c>
      <c r="AB1" s="175"/>
      <c r="AC1" s="175"/>
      <c r="AD1" s="175"/>
      <c r="AE1" s="175"/>
      <c r="AF1" s="169" t="str">
        <f>"FINANCIALS OF   "&amp;'Analyzier - Inputs'!$B$12</f>
        <v>FINANCIALS OF   M20s</v>
      </c>
      <c r="AG1" s="169"/>
      <c r="AH1" s="169"/>
      <c r="AI1" s="169"/>
      <c r="AJ1" s="169"/>
      <c r="AK1" s="167" t="str">
        <f>"FINANCIALS OF "&amp;'Analyzier - Inputs'!$B$13</f>
        <v>FINANCIALS OF M31s</v>
      </c>
      <c r="AL1" s="167"/>
      <c r="AM1" s="167"/>
      <c r="AN1" s="167"/>
      <c r="AO1" s="167"/>
      <c r="AP1" s="168" t="str">
        <f>"FINANCIALS OF "&amp;'Analyzier - Inputs'!$B$14</f>
        <v>FINANCIALS OF M30s+</v>
      </c>
      <c r="AQ1" s="168"/>
      <c r="AR1" s="168"/>
      <c r="AS1" s="168"/>
      <c r="AT1" s="168"/>
    </row>
    <row r="2" spans="1:46" x14ac:dyDescent="0.2">
      <c r="A2" s="31" t="s">
        <v>35</v>
      </c>
      <c r="B2" s="31" t="s">
        <v>37</v>
      </c>
      <c r="C2" s="31" t="s">
        <v>38</v>
      </c>
      <c r="D2" s="32" t="s">
        <v>39</v>
      </c>
      <c r="E2" s="31" t="s">
        <v>97</v>
      </c>
      <c r="F2" s="31" t="s">
        <v>98</v>
      </c>
      <c r="G2" s="31" t="s">
        <v>99</v>
      </c>
      <c r="H2" s="32" t="s">
        <v>100</v>
      </c>
      <c r="I2" s="32" t="s">
        <v>101</v>
      </c>
      <c r="J2" s="31" t="s">
        <v>102</v>
      </c>
      <c r="K2" s="83" t="s">
        <v>103</v>
      </c>
      <c r="L2" s="42" t="str">
        <f>'Analyzier - Inputs'!$B$8&amp;"  Revenue USD"</f>
        <v>S17  Revenue USD</v>
      </c>
      <c r="M2" s="32" t="str">
        <f>'Analyzier - Inputs'!$B$8&amp;"  OPEX USD"</f>
        <v>S17  OPEX USD</v>
      </c>
      <c r="N2" s="32" t="str">
        <f>'Analyzier - Inputs'!$B$8&amp;"  NetRev USD"</f>
        <v>S17  NetRev USD</v>
      </c>
      <c r="O2" t="str">
        <f>'Analyzier - Inputs'!$B$8&amp;"  CashFlow"</f>
        <v>S17  CashFlow</v>
      </c>
      <c r="P2" t="str">
        <f>'Analyzier - Inputs'!$B$8&amp;"  PBP DC Ops"</f>
        <v>S17  PBP DC Ops</v>
      </c>
      <c r="Q2" s="42" t="str">
        <f>'Analyzier - Inputs'!$B$9&amp;"  Revenue USD"</f>
        <v>T17  Revenue USD</v>
      </c>
      <c r="R2" s="32" t="str">
        <f>'Analyzier - Inputs'!$B$9&amp;"  OPEX USD"</f>
        <v>T17  OPEX USD</v>
      </c>
      <c r="S2" s="32" t="str">
        <f>'Analyzier - Inputs'!$B$9&amp;"  NetRev USD"</f>
        <v>T17  NetRev USD</v>
      </c>
      <c r="T2" t="str">
        <f>'Analyzier - Inputs'!$B$9&amp;"  CashFlow"</f>
        <v>T17  CashFlow</v>
      </c>
      <c r="U2" t="str">
        <f>'Analyzier - Inputs'!$B$9&amp;"  PBP DC Ops"</f>
        <v>T17  PBP DC Ops</v>
      </c>
      <c r="V2" s="42" t="str">
        <f>'Analyzier - Inputs'!$B$10&amp;"  Revenue USD"</f>
        <v>S9  Revenue USD</v>
      </c>
      <c r="W2" s="32" t="str">
        <f>'Analyzier - Inputs'!$B$10&amp;"  OPEX USD"</f>
        <v>S9  OPEX USD</v>
      </c>
      <c r="X2" s="32" t="str">
        <f>'Analyzier - Inputs'!$B$10&amp;"  NetRev USD"</f>
        <v>S9  NetRev USD</v>
      </c>
      <c r="Y2" t="str">
        <f>'Analyzier - Inputs'!$B$10&amp;"  CashFlow"</f>
        <v>S9  CashFlow</v>
      </c>
      <c r="Z2" t="str">
        <f>'Analyzier - Inputs'!$B$10&amp;"  PBP DC Ops"</f>
        <v>S9  PBP DC Ops</v>
      </c>
      <c r="AA2" s="42" t="str">
        <f>'Analyzier - Inputs'!$B$11&amp;"  Revenue USD"</f>
        <v>S19  Revenue USD</v>
      </c>
      <c r="AB2" s="32" t="str">
        <f>'Analyzier - Inputs'!$B$11&amp;"  OPEX USD"</f>
        <v>S19  OPEX USD</v>
      </c>
      <c r="AC2" s="32" t="str">
        <f>'Analyzier - Inputs'!$B$11&amp;"  NetRev USD"</f>
        <v>S19  NetRev USD</v>
      </c>
      <c r="AD2" t="str">
        <f>'Analyzier - Inputs'!$B$11&amp;"  CashFlow"</f>
        <v>S19  CashFlow</v>
      </c>
      <c r="AE2" t="str">
        <f>'Analyzier - Inputs'!$B$11&amp;"  PBP DC Ops"</f>
        <v>S19  PBP DC Ops</v>
      </c>
      <c r="AF2" s="42" t="str">
        <f>'Analyzier - Inputs'!$B$12&amp;"  Revenue USD"</f>
        <v>M20s  Revenue USD</v>
      </c>
      <c r="AG2" s="32" t="str">
        <f>'Analyzier - Inputs'!$B$12&amp;"  OPEX USD"</f>
        <v>M20s  OPEX USD</v>
      </c>
      <c r="AH2" s="32" t="str">
        <f>'Analyzier - Inputs'!$B$12&amp;"  NetRev USD"</f>
        <v>M20s  NetRev USD</v>
      </c>
      <c r="AI2" t="str">
        <f>'Analyzier - Inputs'!$B$12&amp;"  CashFlow"</f>
        <v>M20s  CashFlow</v>
      </c>
      <c r="AJ2" t="str">
        <f>'Analyzier - Inputs'!$B$12&amp;"  PBP DC Ops"</f>
        <v>M20s  PBP DC Ops</v>
      </c>
      <c r="AK2" s="42" t="str">
        <f>'Analyzier - Inputs'!$B$13&amp;"  Revenue USD"</f>
        <v>M31s  Revenue USD</v>
      </c>
      <c r="AL2" s="32" t="str">
        <f>'Analyzier - Inputs'!$B$13&amp;"  OPEX USD"</f>
        <v>M31s  OPEX USD</v>
      </c>
      <c r="AM2" s="32" t="str">
        <f>'Analyzier - Inputs'!$B$13&amp;"  NetRev USD"</f>
        <v>M31s  NetRev USD</v>
      </c>
      <c r="AN2" t="str">
        <f>'Analyzier - Inputs'!$B$13&amp;"  CashFlow"</f>
        <v>M31s  CashFlow</v>
      </c>
      <c r="AO2" t="str">
        <f>'Analyzier - Inputs'!$B$13&amp;"  PBP DC Ops"</f>
        <v>M31s  PBP DC Ops</v>
      </c>
      <c r="AP2" s="42" t="str">
        <f>'Analyzier - Inputs'!$B$14&amp;"  Revenue USD"</f>
        <v>M30s+  Revenue USD</v>
      </c>
      <c r="AQ2" s="32" t="str">
        <f>'Analyzier - Inputs'!$B$14&amp;"  OPEX USD"</f>
        <v>M30s+  OPEX USD</v>
      </c>
      <c r="AR2" s="32" t="str">
        <f>'Analyzier - Inputs'!$B$14&amp;"  NetRev USD"</f>
        <v>M30s+  NetRev USD</v>
      </c>
      <c r="AS2" t="str">
        <f>'Analyzier - Inputs'!$B$14&amp;"  CashFlow"</f>
        <v>M30s+  CashFlow</v>
      </c>
      <c r="AT2" t="str">
        <f>'Analyzier - Inputs'!$B$14&amp;"  PBP DC Ops"</f>
        <v>M30s+  PBP DC Ops</v>
      </c>
    </row>
    <row r="3" spans="1:46" x14ac:dyDescent="0.2">
      <c r="A3" s="31" t="s">
        <v>40</v>
      </c>
      <c r="B3" s="30">
        <v>44013</v>
      </c>
      <c r="C3" s="31">
        <f>ROUNDUP((D3/12),0)</f>
        <v>1</v>
      </c>
      <c r="D3" s="31">
        <v>1</v>
      </c>
      <c r="E3" s="29">
        <f>'Analyzier - Inputs'!$C$4*1000</f>
        <v>115000</v>
      </c>
      <c r="F3" s="36">
        <f>'Analyzier - Inputs'!$E$4</f>
        <v>9000</v>
      </c>
      <c r="G3" s="36">
        <v>6.25</v>
      </c>
      <c r="H3" s="36">
        <f>G3*6*24*30.5</f>
        <v>27450</v>
      </c>
      <c r="I3" s="37">
        <f>H3*'Analyzier - Inputs'!$D$4</f>
        <v>1098</v>
      </c>
      <c r="J3" s="36">
        <f>H3+I3</f>
        <v>28548</v>
      </c>
      <c r="K3" s="84">
        <f>J3*(0.001/E3)</f>
        <v>2.4824347826086959E-4</v>
      </c>
      <c r="L3" s="60">
        <f>'Analyzier - Inputs'!$E$8*K3*'Analyzier - Inputs'!$E$4*'Analyzier - Inputs'!$B$4*'Analyzier - Inputs'!$H$8*'Analyzier - Inputs'!$G$4*'Analyzier - Inputs'!$H$4</f>
        <v>55832.440695652178</v>
      </c>
      <c r="M3" s="61">
        <f>('Analyzier - Inputs'!$F$8/1000)*'Analyzier - Inputs'!$C$22*(24*'Analyzier - Inputs'!$H$4)*(365/12)*'Analyzier - Inputs'!$B$4*'Analyzier - Inputs'!$H$8</f>
        <v>18972.408000000003</v>
      </c>
      <c r="N3" s="61">
        <f>(L3-M3)*'Analyzier - Inputs'!$F$4*(1-'Analyzier - Inputs'!$I$4)</f>
        <v>33911.230080000001</v>
      </c>
      <c r="O3" s="43">
        <f>(-1)*'Analyzier - Inputs'!$B$4*'Analyzier - Inputs'!$C$39+N3</f>
        <v>-575668.76991999999</v>
      </c>
      <c r="P3">
        <f>IF(O3&lt;=0,1,0)</f>
        <v>1</v>
      </c>
      <c r="Q3" s="60">
        <f>'Analyzier - Inputs'!$E$9*K3*'Analyzier - Inputs'!$E$4*'Analyzier - Inputs'!$B$4*'Analyzier - Inputs'!$H$9*'Analyzier - Inputs'!$G$4*'Analyzier - Inputs'!$H$4</f>
        <v>44576.584904347823</v>
      </c>
      <c r="R3" s="61">
        <f>('Analyzier - Inputs'!$F$9/1000)*'Analyzier - Inputs'!$C$22*(24*'Analyzier - Inputs'!$H$4)*(365/12)*'Analyzier - Inputs'!$B$4*'Analyzier - Inputs'!$H$9</f>
        <v>18934.448</v>
      </c>
      <c r="S3" s="61">
        <f>(Q3-R3)*'Analyzier - Inputs'!$F$4*(1-'Analyzier - Inputs'!$I$4)</f>
        <v>23590.765951999998</v>
      </c>
      <c r="T3" s="61">
        <f>(-1)*'Analyzier - Inputs'!$B$4*'Analyzier - Inputs'!$C$40+S3</f>
        <v>-402149.23404800001</v>
      </c>
      <c r="U3">
        <f>IF(T3&lt;=0,1,0)</f>
        <v>1</v>
      </c>
      <c r="V3" s="60">
        <f>'Analyzier - Inputs'!$E$10*K3*'Analyzier - Inputs'!$E$4*'Analyzier - Inputs'!$B$4*'Analyzier - Inputs'!$H$10*'Analyzier - Inputs'!$G$4*'Analyzier - Inputs'!$H$4</f>
        <v>31904.251826086962</v>
      </c>
      <c r="W3" s="61">
        <f>('Analyzier - Inputs'!$F$10/1000)*'Analyzier - Inputs'!$C$22*(24*'Analyzier - Inputs'!$H$4)*(365/12)*'Analyzier - Inputs'!$B$4*'Analyzier - Inputs'!$H$10</f>
        <v>18972.408000000003</v>
      </c>
      <c r="X3" s="61">
        <f>(V3-W3)*'Analyzier - Inputs'!$F$4*(1-'Analyzier - Inputs'!$I$4)</f>
        <v>11897.296320000003</v>
      </c>
      <c r="Y3" s="61">
        <f>(-1)*'Analyzier - Inputs'!$B$4*'Analyzier - Inputs'!$C$41+X3</f>
        <v>-176282.70368000001</v>
      </c>
      <c r="Z3">
        <f>IF(Y3&lt;=0,1,0)</f>
        <v>1</v>
      </c>
      <c r="AA3" s="60">
        <f>'Analyzier - Inputs'!$E$11*K3*'Analyzier - Inputs'!$E$4*'Analyzier - Inputs'!$B$4*'Analyzier - Inputs'!$H$11*'Analyzier - Inputs'!$G$4*'Analyzier - Inputs'!$H$4</f>
        <v>64311.196695652179</v>
      </c>
      <c r="AB3" s="61">
        <f>('Analyzier - Inputs'!$F$11/1000)*'Analyzier - Inputs'!$C$22*(24*'Analyzier - Inputs'!$H$4)*(365/12)*'Analyzier - Inputs'!$B$4*'Analyzier - Inputs'!$H$11</f>
        <v>18978.102000000003</v>
      </c>
      <c r="AC3" s="61">
        <f>(AA3-AB3)*'Analyzier - Inputs'!$F$4*(1-'Analyzier - Inputs'!$I$4)</f>
        <v>41706.447120000004</v>
      </c>
      <c r="AD3" s="61">
        <f>(-1)*'Analyzier - Inputs'!$B$4*'Analyzier - Inputs'!$C$42+AC3</f>
        <v>-708273.55287999997</v>
      </c>
      <c r="AE3">
        <f>IF(AD3&lt;=0,1,0)</f>
        <v>1</v>
      </c>
      <c r="AF3" s="60">
        <f>'Analyzier - Inputs'!$E$12*K3*'Analyzier - Inputs'!$E$4*'Analyzier - Inputs'!$B$4*'Analyzier - Inputs'!$H$12*'Analyzier - Inputs'!$G$4*'Analyzier - Inputs'!$H$4</f>
        <v>46761.624000000011</v>
      </c>
      <c r="AG3" s="61">
        <f>('Analyzier - Inputs'!$F$12/1000)*'Analyzier - Inputs'!$C$22*(24*'Analyzier - Inputs'!$H$4)*(365/12)*'Analyzier - Inputs'!$B$4*'Analyzier - Inputs'!$H$12</f>
        <v>18945.836000000003</v>
      </c>
      <c r="AH3" s="61">
        <f>(AF3-AG3)*'Analyzier - Inputs'!$F$4*(1-'Analyzier - Inputs'!$I$4)</f>
        <v>25590.52496000001</v>
      </c>
      <c r="AI3" s="61">
        <f>(-1)*'Analyzier - Inputs'!$B$4*'Analyzier - Inputs'!$C$43+AH3</f>
        <v>-359709.47503999999</v>
      </c>
      <c r="AJ3">
        <f>IF(AI3&lt;=0,1,0)</f>
        <v>1</v>
      </c>
      <c r="AK3" s="60">
        <f>'Analyzier - Inputs'!$E$13*K3*'Analyzier - Inputs'!$E$4*'Analyzier - Inputs'!$B$4*'Analyzier - Inputs'!$H$13*'Analyzier - Inputs'!$G$4*'Analyzier - Inputs'!$H$4</f>
        <v>52977.144208695667</v>
      </c>
      <c r="AL3" s="61">
        <f>('Analyzier - Inputs'!$F$13/1000)*'Analyzier - Inputs'!$C$22*(24*'Analyzier - Inputs'!$H$4)*(365/12)*'Analyzier - Inputs'!$B$4*'Analyzier - Inputs'!$H$13</f>
        <v>18949.632000000005</v>
      </c>
      <c r="AM3" s="61">
        <f>(AK3-AL3)*'Analyzier - Inputs'!$F$4*(1-'Analyzier - Inputs'!$I$4)</f>
        <v>31305.311232000011</v>
      </c>
      <c r="AN3" s="61">
        <f>(-1)*'Analyzier - Inputs'!$B$4*'Analyzier - Inputs'!$C$44+AM3</f>
        <v>-588354.68876799999</v>
      </c>
      <c r="AO3">
        <f>IF(AN3&lt;=0,1,0)</f>
        <v>1</v>
      </c>
      <c r="AP3" s="60">
        <f>'Analyzier - Inputs'!$E$14*K3*'Analyzier - Inputs'!$E$4*'Analyzier - Inputs'!$B$4*'Analyzier - Inputs'!$H$14*'Analyzier - Inputs'!$G$4*'Analyzier - Inputs'!$H$4</f>
        <v>65685.224347826093</v>
      </c>
      <c r="AQ3" s="61">
        <f>('Analyzier - Inputs'!$F$13/1000)*'Analyzier - Inputs'!$C$22*(24*'Analyzier - Inputs'!$H$4)*(365/12)*'Analyzier - Inputs'!$B$4*'Analyzier - Inputs'!$H$13</f>
        <v>18949.632000000005</v>
      </c>
      <c r="AR3" s="61">
        <f>(AP3-AQ3)*'Analyzier - Inputs'!$F$4*(1-'Analyzier - Inputs'!$I$4)</f>
        <v>42996.744960000004</v>
      </c>
      <c r="AS3" s="61">
        <f>(-1)*'Analyzier - Inputs'!$B$4*'Analyzier - Inputs'!$C$45+AR3</f>
        <v>-828663.25503999996</v>
      </c>
      <c r="AT3">
        <f>IF(AS3&lt;=0,1,0)</f>
        <v>1</v>
      </c>
    </row>
    <row r="4" spans="1:46" x14ac:dyDescent="0.2">
      <c r="A4" s="31" t="s">
        <v>41</v>
      </c>
      <c r="B4" s="30">
        <v>44044</v>
      </c>
      <c r="C4" s="31">
        <f t="shared" ref="C4:C59" si="0">ROUNDUP((D4/12),0)</f>
        <v>1</v>
      </c>
      <c r="D4" s="31">
        <v>2</v>
      </c>
      <c r="E4" s="29">
        <f>E3</f>
        <v>115000</v>
      </c>
      <c r="F4" s="36">
        <f>F3</f>
        <v>9000</v>
      </c>
      <c r="G4" s="36">
        <v>6.25</v>
      </c>
      <c r="H4" s="36">
        <f t="shared" ref="H4:H59" si="1">G4*6*24*30.5</f>
        <v>27450</v>
      </c>
      <c r="I4" s="37">
        <f>H4*'Analyzier - Inputs'!$D$4</f>
        <v>1098</v>
      </c>
      <c r="J4" s="36">
        <f t="shared" ref="J4:J59" si="2">H4+I4</f>
        <v>28548</v>
      </c>
      <c r="K4" s="84">
        <f>J4*(0.001/E4)</f>
        <v>2.4824347826086959E-4</v>
      </c>
      <c r="L4" s="60">
        <f>'Analyzier - Inputs'!$E$8*K4*'Analyzier - Inputs'!$E$4*'Analyzier - Inputs'!$B$4*'Analyzier - Inputs'!$H$8</f>
        <v>55832.440695652178</v>
      </c>
      <c r="M4" s="61">
        <f>('Analyzier - Inputs'!$F$8/1000)*'Analyzier - Inputs'!$C$22*24*(365/12)*'Analyzier - Inputs'!$B$4*'Analyzier - Inputs'!$H$8</f>
        <v>18972.408000000003</v>
      </c>
      <c r="N4" s="61">
        <f>(L4-M4)*'Analyzier - Inputs'!$F$4*(1-'Analyzier - Inputs'!$I$4)</f>
        <v>33911.230080000001</v>
      </c>
      <c r="O4" s="43">
        <f>N4+O3</f>
        <v>-541757.53983999998</v>
      </c>
      <c r="P4">
        <f t="shared" ref="P4:P59" si="3">IF(O4&lt;=0,1,0)</f>
        <v>1</v>
      </c>
      <c r="Q4" s="60">
        <f>'Analyzier - Inputs'!$E$9*K4*'Analyzier - Inputs'!$E$4*'Analyzier - Inputs'!$B$4*'Analyzier - Inputs'!$H$9</f>
        <v>44576.584904347823</v>
      </c>
      <c r="R4" s="61">
        <f>('Analyzier - Inputs'!$F$9/1000)*'Analyzier - Inputs'!$C$22*24*(365/12)*'Analyzier - Inputs'!$B$4*'Analyzier - Inputs'!$H$9</f>
        <v>18934.448</v>
      </c>
      <c r="S4" s="61">
        <f>(Q4-R4)*'Analyzier - Inputs'!$F$4*(1-'Analyzier - Inputs'!$I$4)</f>
        <v>23590.765951999998</v>
      </c>
      <c r="T4" s="61">
        <f>S4+T3</f>
        <v>-378558.46809600003</v>
      </c>
      <c r="U4">
        <f t="shared" ref="U4:U59" si="4">IF(T4&lt;=0,1,0)</f>
        <v>1</v>
      </c>
      <c r="V4" s="60">
        <f>'Analyzier - Inputs'!$E$10*K4*'Analyzier - Inputs'!$E$4*'Analyzier - Inputs'!$B$4*'Analyzier - Inputs'!$H$10</f>
        <v>31904.251826086962</v>
      </c>
      <c r="W4" s="61">
        <f>('Analyzier - Inputs'!$F$10/1000)*'Analyzier - Inputs'!$C$22*24*(365/12)*'Analyzier - Inputs'!$B$4*'Analyzier - Inputs'!$H$10</f>
        <v>18972.408000000003</v>
      </c>
      <c r="X4" s="61">
        <f>(V4-W4)*'Analyzier - Inputs'!$F$4*(1-'Analyzier - Inputs'!$I$4)</f>
        <v>11897.296320000003</v>
      </c>
      <c r="Y4" s="61">
        <f>X4+Y3</f>
        <v>-164385.40736000001</v>
      </c>
      <c r="Z4">
        <f t="shared" ref="Z4:Z59" si="5">IF(Y4&lt;=0,1,0)</f>
        <v>1</v>
      </c>
      <c r="AA4" s="60">
        <f>'Analyzier - Inputs'!$E$11*K4*'Analyzier - Inputs'!$E$4*'Analyzier - Inputs'!$B$4*'Analyzier - Inputs'!$H$11</f>
        <v>64311.196695652179</v>
      </c>
      <c r="AB4" s="61">
        <f>('Analyzier - Inputs'!$F$11/1000)*'Analyzier - Inputs'!$C$22*24*(365/12)*'Analyzier - Inputs'!$B$4*'Analyzier - Inputs'!$H$11</f>
        <v>18978.102000000003</v>
      </c>
      <c r="AC4" s="61">
        <f>(AA4-AB4)*'Analyzier - Inputs'!$F$4*(1-'Analyzier - Inputs'!$I$4)</f>
        <v>41706.447120000004</v>
      </c>
      <c r="AD4" s="61">
        <f>AC4+AD3</f>
        <v>-666567.10575999995</v>
      </c>
      <c r="AE4">
        <f t="shared" ref="AE4:AE59" si="6">IF(AD4&lt;=0,1,0)</f>
        <v>1</v>
      </c>
      <c r="AF4" s="60">
        <f>'Analyzier - Inputs'!$E$12*K4*'Analyzier - Inputs'!$E$4*'Analyzier - Inputs'!$B$4*'Analyzier - Inputs'!$H$12</f>
        <v>46761.624000000011</v>
      </c>
      <c r="AG4" s="61">
        <f>('Analyzier - Inputs'!$F$12/1000)*'Analyzier - Inputs'!$C$22*24*(365/12)*'Analyzier - Inputs'!$B$4*'Analyzier - Inputs'!$H$12</f>
        <v>18945.836000000003</v>
      </c>
      <c r="AH4" s="61">
        <f>(AF4-AG4)*'Analyzier - Inputs'!$F$4*(1-'Analyzier - Inputs'!$I$4)</f>
        <v>25590.52496000001</v>
      </c>
      <c r="AI4" s="61">
        <f>AH4+AI3</f>
        <v>-334118.95007999998</v>
      </c>
      <c r="AJ4">
        <f t="shared" ref="AJ4:AJ59" si="7">IF(AI4&lt;=0,1,0)</f>
        <v>1</v>
      </c>
      <c r="AK4" s="60">
        <f>'Analyzier - Inputs'!$E$13*K4*'Analyzier - Inputs'!$E$4*'Analyzier - Inputs'!$B$4*'Analyzier - Inputs'!$H$13*'Analyzier - Inputs'!$G$4*'Analyzier - Inputs'!$H$4</f>
        <v>52977.144208695667</v>
      </c>
      <c r="AL4" s="61">
        <f>('Analyzier - Inputs'!$F$12/1000)*'Analyzier - Inputs'!$C$22*24*(365/12)*'Analyzier - Inputs'!$B$4*'Analyzier - Inputs'!$H$12</f>
        <v>18945.836000000003</v>
      </c>
      <c r="AM4" s="61">
        <f>(AK4-AL4)*'Analyzier - Inputs'!$F$4</f>
        <v>34031.308208695664</v>
      </c>
      <c r="AN4" s="61">
        <f>AM4+AN3</f>
        <v>-554323.38055930438</v>
      </c>
      <c r="AO4">
        <f t="shared" ref="AO4:AO59" si="8">IF(AN4&lt;=0,1,0)</f>
        <v>1</v>
      </c>
      <c r="AP4" s="60">
        <f>'Analyzier - Inputs'!$E$14*K4*'Analyzier - Inputs'!$E$4*'Analyzier - Inputs'!$B$4*'Analyzier - Inputs'!$H$14*'Analyzier - Inputs'!$G$4*'Analyzier - Inputs'!$H$4</f>
        <v>65685.224347826093</v>
      </c>
      <c r="AQ4" s="61">
        <f>('Analyzier - Inputs'!$F$12/1000)*'Analyzier - Inputs'!$C$22*24*(365/12)*'Analyzier - Inputs'!$B$4*'Analyzier - Inputs'!$H$12</f>
        <v>18945.836000000003</v>
      </c>
      <c r="AR4" s="61">
        <f>(AP4-AQ4)*'Analyzier - Inputs'!$F$4</f>
        <v>46739.38834782609</v>
      </c>
      <c r="AS4" s="61">
        <f>AR4+AS3</f>
        <v>-781923.86669217388</v>
      </c>
      <c r="AT4">
        <f t="shared" ref="AT4:AT59" si="9">IF(AS4&lt;=0,1,0)</f>
        <v>1</v>
      </c>
    </row>
    <row r="5" spans="1:46" x14ac:dyDescent="0.2">
      <c r="A5" s="31" t="s">
        <v>42</v>
      </c>
      <c r="B5" s="30">
        <v>44075</v>
      </c>
      <c r="C5" s="31">
        <f t="shared" si="0"/>
        <v>1</v>
      </c>
      <c r="D5" s="31">
        <v>3</v>
      </c>
      <c r="E5" s="29">
        <f t="shared" ref="E5:F20" si="10">E4</f>
        <v>115000</v>
      </c>
      <c r="F5" s="36">
        <f t="shared" si="10"/>
        <v>9000</v>
      </c>
      <c r="G5" s="36">
        <v>6.25</v>
      </c>
      <c r="H5" s="36">
        <f t="shared" si="1"/>
        <v>27450</v>
      </c>
      <c r="I5" s="37">
        <f>H5*'Analyzier - Inputs'!$D$4</f>
        <v>1098</v>
      </c>
      <c r="J5" s="36">
        <f t="shared" si="2"/>
        <v>28548</v>
      </c>
      <c r="K5" s="84">
        <f t="shared" ref="K5:K59" si="11">J5*(0.001/E5)</f>
        <v>2.4824347826086959E-4</v>
      </c>
      <c r="L5" s="60">
        <f>'Analyzier - Inputs'!$E$8*K5*'Analyzier - Inputs'!$E$4*'Analyzier - Inputs'!$B$4*'Analyzier - Inputs'!$H$8</f>
        <v>55832.440695652178</v>
      </c>
      <c r="M5" s="61">
        <f>('Analyzier - Inputs'!$F$8/1000)*'Analyzier - Inputs'!$C$22*24*(365/12)*'Analyzier - Inputs'!$B$4*'Analyzier - Inputs'!$H$8</f>
        <v>18972.408000000003</v>
      </c>
      <c r="N5" s="61">
        <f>(L5-M5)*'Analyzier - Inputs'!$F$4*(1-'Analyzier - Inputs'!$I$4)</f>
        <v>33911.230080000001</v>
      </c>
      <c r="O5" s="43">
        <f t="shared" ref="O5:O59" si="12">N5+O4</f>
        <v>-507846.30975999997</v>
      </c>
      <c r="P5">
        <f t="shared" si="3"/>
        <v>1</v>
      </c>
      <c r="Q5" s="60">
        <f>'Analyzier - Inputs'!$E$9*K5*'Analyzier - Inputs'!$E$4*'Analyzier - Inputs'!$B$4*'Analyzier - Inputs'!$H$9</f>
        <v>44576.584904347823</v>
      </c>
      <c r="R5" s="61">
        <f>('Analyzier - Inputs'!$F$9/1000)*'Analyzier - Inputs'!$C$22*24*(365/12)*'Analyzier - Inputs'!$B$4*'Analyzier - Inputs'!$H$9</f>
        <v>18934.448</v>
      </c>
      <c r="S5" s="61">
        <f>(Q5-R5)*'Analyzier - Inputs'!$F$4*(1-'Analyzier - Inputs'!$I$4)</f>
        <v>23590.765951999998</v>
      </c>
      <c r="T5" s="61">
        <f t="shared" ref="T5:T59" si="13">S5+T4</f>
        <v>-354967.70214400004</v>
      </c>
      <c r="U5">
        <f t="shared" si="4"/>
        <v>1</v>
      </c>
      <c r="V5" s="60">
        <f>'Analyzier - Inputs'!$E$10*K5*'Analyzier - Inputs'!$E$4*'Analyzier - Inputs'!$B$4*'Analyzier - Inputs'!$H$10</f>
        <v>31904.251826086962</v>
      </c>
      <c r="W5" s="61">
        <f>('Analyzier - Inputs'!$F$10/1000)*'Analyzier - Inputs'!$C$22*24*(365/12)*'Analyzier - Inputs'!$B$4*'Analyzier - Inputs'!$H$10</f>
        <v>18972.408000000003</v>
      </c>
      <c r="X5" s="61">
        <f>(V5-W5)*'Analyzier - Inputs'!$F$4*(1-'Analyzier - Inputs'!$I$4)</f>
        <v>11897.296320000003</v>
      </c>
      <c r="Y5" s="61">
        <f t="shared" ref="Y5:Y59" si="14">X5+Y4</f>
        <v>-152488.11104000002</v>
      </c>
      <c r="Z5">
        <f t="shared" si="5"/>
        <v>1</v>
      </c>
      <c r="AA5" s="60">
        <f>'Analyzier - Inputs'!$E$11*K5*'Analyzier - Inputs'!$E$4*'Analyzier - Inputs'!$B$4*'Analyzier - Inputs'!$H$11</f>
        <v>64311.196695652179</v>
      </c>
      <c r="AB5" s="61">
        <f>('Analyzier - Inputs'!$F$11/1000)*'Analyzier - Inputs'!$C$22*24*(365/12)*'Analyzier - Inputs'!$B$4*'Analyzier - Inputs'!$H$11</f>
        <v>18978.102000000003</v>
      </c>
      <c r="AC5" s="61">
        <f>(AA5-AB5)*'Analyzier - Inputs'!$F$4*(1-'Analyzier - Inputs'!$I$4)</f>
        <v>41706.447120000004</v>
      </c>
      <c r="AD5" s="61">
        <f t="shared" ref="AD5:AD59" si="15">AC5+AD4</f>
        <v>-624860.65863999992</v>
      </c>
      <c r="AE5">
        <f t="shared" si="6"/>
        <v>1</v>
      </c>
      <c r="AF5" s="60">
        <f>'Analyzier - Inputs'!$E$12*K5*'Analyzier - Inputs'!$E$4*'Analyzier - Inputs'!$B$4*'Analyzier - Inputs'!$H$12</f>
        <v>46761.624000000011</v>
      </c>
      <c r="AG5" s="61">
        <f>('Analyzier - Inputs'!$F$12/1000)*'Analyzier - Inputs'!$C$22*24*(365/12)*'Analyzier - Inputs'!$B$4*'Analyzier - Inputs'!$H$12</f>
        <v>18945.836000000003</v>
      </c>
      <c r="AH5" s="61">
        <f>(AF5-AG5)*'Analyzier - Inputs'!$F$4*(1-'Analyzier - Inputs'!$I$4)</f>
        <v>25590.52496000001</v>
      </c>
      <c r="AI5" s="61">
        <f t="shared" ref="AI5:AI59" si="16">AH5+AI4</f>
        <v>-308528.42511999997</v>
      </c>
      <c r="AJ5">
        <f t="shared" si="7"/>
        <v>1</v>
      </c>
      <c r="AK5" s="60">
        <f>'Analyzier - Inputs'!$E$13*K5*'Analyzier - Inputs'!$E$4*'Analyzier - Inputs'!$B$4*'Analyzier - Inputs'!$H$13*'Analyzier - Inputs'!$G$4*'Analyzier - Inputs'!$H$4</f>
        <v>52977.144208695667</v>
      </c>
      <c r="AL5" s="61">
        <f>('Analyzier - Inputs'!$F$12/1000)*'Analyzier - Inputs'!$C$22*24*(365/12)*'Analyzier - Inputs'!$B$4*'Analyzier - Inputs'!$H$12</f>
        <v>18945.836000000003</v>
      </c>
      <c r="AM5" s="61">
        <f>(AK5-AL5)*'Analyzier - Inputs'!$F$4</f>
        <v>34031.308208695664</v>
      </c>
      <c r="AN5" s="61">
        <f t="shared" ref="AN5:AN59" si="17">AM5+AN4</f>
        <v>-520292.07235060871</v>
      </c>
      <c r="AO5">
        <f t="shared" si="8"/>
        <v>1</v>
      </c>
      <c r="AP5" s="60">
        <f>'Analyzier - Inputs'!$E$14*K5*'Analyzier - Inputs'!$E$4*'Analyzier - Inputs'!$B$4*'Analyzier - Inputs'!$H$14*'Analyzier - Inputs'!$G$4*'Analyzier - Inputs'!$H$4</f>
        <v>65685.224347826093</v>
      </c>
      <c r="AQ5" s="61">
        <f>('Analyzier - Inputs'!$F$12/1000)*'Analyzier - Inputs'!$C$22*24*(365/12)*'Analyzier - Inputs'!$B$4*'Analyzier - Inputs'!$H$12</f>
        <v>18945.836000000003</v>
      </c>
      <c r="AR5" s="61">
        <f>(AP5-AQ5)*'Analyzier - Inputs'!$F$4</f>
        <v>46739.38834782609</v>
      </c>
      <c r="AS5" s="61">
        <f t="shared" ref="AS5:AS59" si="18">AR5+AS4</f>
        <v>-735184.47834434779</v>
      </c>
      <c r="AT5">
        <f t="shared" si="9"/>
        <v>1</v>
      </c>
    </row>
    <row r="6" spans="1:46" x14ac:dyDescent="0.2">
      <c r="A6" s="31" t="s">
        <v>43</v>
      </c>
      <c r="B6" s="30">
        <v>44105</v>
      </c>
      <c r="C6" s="31">
        <f t="shared" si="0"/>
        <v>1</v>
      </c>
      <c r="D6" s="31">
        <v>4</v>
      </c>
      <c r="E6" s="29">
        <f t="shared" si="10"/>
        <v>115000</v>
      </c>
      <c r="F6" s="36">
        <f t="shared" si="10"/>
        <v>9000</v>
      </c>
      <c r="G6" s="36">
        <v>6.25</v>
      </c>
      <c r="H6" s="36">
        <f t="shared" si="1"/>
        <v>27450</v>
      </c>
      <c r="I6" s="37">
        <f>H6*'Analyzier - Inputs'!$D$4</f>
        <v>1098</v>
      </c>
      <c r="J6" s="36">
        <f t="shared" si="2"/>
        <v>28548</v>
      </c>
      <c r="K6" s="84">
        <f t="shared" si="11"/>
        <v>2.4824347826086959E-4</v>
      </c>
      <c r="L6" s="60">
        <f>'Analyzier - Inputs'!$E$8*K6*'Analyzier - Inputs'!$E$4*'Analyzier - Inputs'!$B$4*'Analyzier - Inputs'!$H$8</f>
        <v>55832.440695652178</v>
      </c>
      <c r="M6" s="61">
        <f>('Analyzier - Inputs'!$F$8/1000)*'Analyzier - Inputs'!$C$22*24*(365/12)*'Analyzier - Inputs'!$B$4*'Analyzier - Inputs'!$H$8</f>
        <v>18972.408000000003</v>
      </c>
      <c r="N6" s="61">
        <f>(L6-M6)*'Analyzier - Inputs'!$F$4*(1-'Analyzier - Inputs'!$I$4)</f>
        <v>33911.230080000001</v>
      </c>
      <c r="O6" s="43">
        <f t="shared" si="12"/>
        <v>-473935.07967999997</v>
      </c>
      <c r="P6">
        <f t="shared" si="3"/>
        <v>1</v>
      </c>
      <c r="Q6" s="60">
        <f>'Analyzier - Inputs'!$E$9*K6*'Analyzier - Inputs'!$E$4*'Analyzier - Inputs'!$B$4*'Analyzier - Inputs'!$H$9</f>
        <v>44576.584904347823</v>
      </c>
      <c r="R6" s="61">
        <f>('Analyzier - Inputs'!$F$9/1000)*'Analyzier - Inputs'!$C$22*24*(365/12)*'Analyzier - Inputs'!$B$4*'Analyzier - Inputs'!$H$9</f>
        <v>18934.448</v>
      </c>
      <c r="S6" s="61">
        <f>(Q6-R6)*'Analyzier - Inputs'!$F$4*(1-'Analyzier - Inputs'!$I$4)</f>
        <v>23590.765951999998</v>
      </c>
      <c r="T6" s="61">
        <f t="shared" si="13"/>
        <v>-331376.93619200005</v>
      </c>
      <c r="U6">
        <f t="shared" si="4"/>
        <v>1</v>
      </c>
      <c r="V6" s="60">
        <f>'Analyzier - Inputs'!$E$10*K6*'Analyzier - Inputs'!$E$4*'Analyzier - Inputs'!$B$4*'Analyzier - Inputs'!$H$10</f>
        <v>31904.251826086962</v>
      </c>
      <c r="W6" s="61">
        <f>('Analyzier - Inputs'!$F$10/1000)*'Analyzier - Inputs'!$C$22*24*(365/12)*'Analyzier - Inputs'!$B$4*'Analyzier - Inputs'!$H$10</f>
        <v>18972.408000000003</v>
      </c>
      <c r="X6" s="61">
        <f>(V6-W6)*'Analyzier - Inputs'!$F$4*(1-'Analyzier - Inputs'!$I$4)</f>
        <v>11897.296320000003</v>
      </c>
      <c r="Y6" s="61">
        <f t="shared" si="14"/>
        <v>-140590.81472000002</v>
      </c>
      <c r="Z6">
        <f t="shared" si="5"/>
        <v>1</v>
      </c>
      <c r="AA6" s="60">
        <f>'Analyzier - Inputs'!$E$11*K6*'Analyzier - Inputs'!$E$4*'Analyzier - Inputs'!$B$4*'Analyzier - Inputs'!$H$11</f>
        <v>64311.196695652179</v>
      </c>
      <c r="AB6" s="61">
        <f>('Analyzier - Inputs'!$F$11/1000)*'Analyzier - Inputs'!$C$22*24*(365/12)*'Analyzier - Inputs'!$B$4*'Analyzier - Inputs'!$H$11</f>
        <v>18978.102000000003</v>
      </c>
      <c r="AC6" s="61">
        <f>(AA6-AB6)*'Analyzier - Inputs'!$F$4*(1-'Analyzier - Inputs'!$I$4)</f>
        <v>41706.447120000004</v>
      </c>
      <c r="AD6" s="61">
        <f t="shared" si="15"/>
        <v>-583154.2115199999</v>
      </c>
      <c r="AE6">
        <f t="shared" si="6"/>
        <v>1</v>
      </c>
      <c r="AF6" s="60">
        <f>'Analyzier - Inputs'!$E$12*K6*'Analyzier - Inputs'!$E$4*'Analyzier - Inputs'!$B$4*'Analyzier - Inputs'!$H$12</f>
        <v>46761.624000000011</v>
      </c>
      <c r="AG6" s="61">
        <f>('Analyzier - Inputs'!$F$12/1000)*'Analyzier - Inputs'!$C$22*24*(365/12)*'Analyzier - Inputs'!$B$4*'Analyzier - Inputs'!$H$12</f>
        <v>18945.836000000003</v>
      </c>
      <c r="AH6" s="61">
        <f>(AF6-AG6)*'Analyzier - Inputs'!$F$4*(1-'Analyzier - Inputs'!$I$4)</f>
        <v>25590.52496000001</v>
      </c>
      <c r="AI6" s="61">
        <f t="shared" si="16"/>
        <v>-282937.90015999996</v>
      </c>
      <c r="AJ6">
        <f t="shared" si="7"/>
        <v>1</v>
      </c>
      <c r="AK6" s="60">
        <f>'Analyzier - Inputs'!$E$13*K6*'Analyzier - Inputs'!$E$4*'Analyzier - Inputs'!$B$4*'Analyzier - Inputs'!$H$13*'Analyzier - Inputs'!$G$4*'Analyzier - Inputs'!$H$4</f>
        <v>52977.144208695667</v>
      </c>
      <c r="AL6" s="61">
        <f>('Analyzier - Inputs'!$F$12/1000)*'Analyzier - Inputs'!$C$22*24*(365/12)*'Analyzier - Inputs'!$B$4*'Analyzier - Inputs'!$H$12</f>
        <v>18945.836000000003</v>
      </c>
      <c r="AM6" s="61">
        <f>(AK6-AL6)*'Analyzier - Inputs'!$F$4</f>
        <v>34031.308208695664</v>
      </c>
      <c r="AN6" s="61">
        <f t="shared" si="17"/>
        <v>-486260.76414191304</v>
      </c>
      <c r="AO6">
        <f t="shared" si="8"/>
        <v>1</v>
      </c>
      <c r="AP6" s="60">
        <f>'Analyzier - Inputs'!$E$14*K6*'Analyzier - Inputs'!$E$4*'Analyzier - Inputs'!$B$4*'Analyzier - Inputs'!$H$14*'Analyzier - Inputs'!$G$4*'Analyzier - Inputs'!$H$4</f>
        <v>65685.224347826093</v>
      </c>
      <c r="AQ6" s="61">
        <f>('Analyzier - Inputs'!$F$12/1000)*'Analyzier - Inputs'!$C$22*24*(365/12)*'Analyzier - Inputs'!$B$4*'Analyzier - Inputs'!$H$12</f>
        <v>18945.836000000003</v>
      </c>
      <c r="AR6" s="61">
        <f>(AP6-AQ6)*'Analyzier - Inputs'!$F$4</f>
        <v>46739.38834782609</v>
      </c>
      <c r="AS6" s="61">
        <f t="shared" si="18"/>
        <v>-688445.08999652171</v>
      </c>
      <c r="AT6">
        <f t="shared" si="9"/>
        <v>1</v>
      </c>
    </row>
    <row r="7" spans="1:46" x14ac:dyDescent="0.2">
      <c r="A7" s="31" t="s">
        <v>44</v>
      </c>
      <c r="B7" s="30">
        <v>44136</v>
      </c>
      <c r="C7" s="31">
        <f t="shared" si="0"/>
        <v>1</v>
      </c>
      <c r="D7" s="31">
        <v>5</v>
      </c>
      <c r="E7" s="29">
        <f t="shared" si="10"/>
        <v>115000</v>
      </c>
      <c r="F7" s="36">
        <f t="shared" si="10"/>
        <v>9000</v>
      </c>
      <c r="G7" s="36">
        <v>6.25</v>
      </c>
      <c r="H7" s="36">
        <f t="shared" si="1"/>
        <v>27450</v>
      </c>
      <c r="I7" s="37">
        <f>H7*'Analyzier - Inputs'!$D$4</f>
        <v>1098</v>
      </c>
      <c r="J7" s="36">
        <f t="shared" si="2"/>
        <v>28548</v>
      </c>
      <c r="K7" s="84">
        <f t="shared" si="11"/>
        <v>2.4824347826086959E-4</v>
      </c>
      <c r="L7" s="60">
        <f>'Analyzier - Inputs'!$E$8*K7*'Analyzier - Inputs'!$E$4*'Analyzier - Inputs'!$B$4*'Analyzier - Inputs'!$H$8</f>
        <v>55832.440695652178</v>
      </c>
      <c r="M7" s="61">
        <f>('Analyzier - Inputs'!$F$8/1000)*'Analyzier - Inputs'!$C$22*24*(365/12)*'Analyzier - Inputs'!$B$4*'Analyzier - Inputs'!$H$8</f>
        <v>18972.408000000003</v>
      </c>
      <c r="N7" s="61">
        <f>(L7-M7)*'Analyzier - Inputs'!$F$4*(1-'Analyzier - Inputs'!$I$4)</f>
        <v>33911.230080000001</v>
      </c>
      <c r="O7" s="43">
        <f t="shared" si="12"/>
        <v>-440023.84959999996</v>
      </c>
      <c r="P7">
        <f t="shared" si="3"/>
        <v>1</v>
      </c>
      <c r="Q7" s="60">
        <f>'Analyzier - Inputs'!$E$9*K7*'Analyzier - Inputs'!$E$4*'Analyzier - Inputs'!$B$4*'Analyzier - Inputs'!$H$9</f>
        <v>44576.584904347823</v>
      </c>
      <c r="R7" s="61">
        <f>('Analyzier - Inputs'!$F$9/1000)*'Analyzier - Inputs'!$C$22*24*(365/12)*'Analyzier - Inputs'!$B$4*'Analyzier - Inputs'!$H$9</f>
        <v>18934.448</v>
      </c>
      <c r="S7" s="61">
        <f>(Q7-R7)*'Analyzier - Inputs'!$F$4*(1-'Analyzier - Inputs'!$I$4)</f>
        <v>23590.765951999998</v>
      </c>
      <c r="T7" s="61">
        <f t="shared" si="13"/>
        <v>-307786.17024000006</v>
      </c>
      <c r="U7">
        <f t="shared" si="4"/>
        <v>1</v>
      </c>
      <c r="V7" s="60">
        <f>'Analyzier - Inputs'!$E$10*K7*'Analyzier - Inputs'!$E$4*'Analyzier - Inputs'!$B$4*'Analyzier - Inputs'!$H$10</f>
        <v>31904.251826086962</v>
      </c>
      <c r="W7" s="61">
        <f>('Analyzier - Inputs'!$F$10/1000)*'Analyzier - Inputs'!$C$22*24*(365/12)*'Analyzier - Inputs'!$B$4*'Analyzier - Inputs'!$H$10</f>
        <v>18972.408000000003</v>
      </c>
      <c r="X7" s="61">
        <f>(V7-W7)*'Analyzier - Inputs'!$F$4*(1-'Analyzier - Inputs'!$I$4)</f>
        <v>11897.296320000003</v>
      </c>
      <c r="Y7" s="61">
        <f t="shared" si="14"/>
        <v>-128693.51840000002</v>
      </c>
      <c r="Z7">
        <f t="shared" si="5"/>
        <v>1</v>
      </c>
      <c r="AA7" s="60">
        <f>'Analyzier - Inputs'!$E$11*K7*'Analyzier - Inputs'!$E$4*'Analyzier - Inputs'!$B$4*'Analyzier - Inputs'!$H$11</f>
        <v>64311.196695652179</v>
      </c>
      <c r="AB7" s="61">
        <f>('Analyzier - Inputs'!$F$11/1000)*'Analyzier - Inputs'!$C$22*24*(365/12)*'Analyzier - Inputs'!$B$4*'Analyzier - Inputs'!$H$11</f>
        <v>18978.102000000003</v>
      </c>
      <c r="AC7" s="61">
        <f>(AA7-AB7)*'Analyzier - Inputs'!$F$4*(1-'Analyzier - Inputs'!$I$4)</f>
        <v>41706.447120000004</v>
      </c>
      <c r="AD7" s="61">
        <f t="shared" si="15"/>
        <v>-541447.76439999987</v>
      </c>
      <c r="AE7">
        <f t="shared" si="6"/>
        <v>1</v>
      </c>
      <c r="AF7" s="60">
        <f>'Analyzier - Inputs'!$E$12*K7*'Analyzier - Inputs'!$E$4*'Analyzier - Inputs'!$B$4*'Analyzier - Inputs'!$H$12</f>
        <v>46761.624000000011</v>
      </c>
      <c r="AG7" s="61">
        <f>('Analyzier - Inputs'!$F$12/1000)*'Analyzier - Inputs'!$C$22*24*(365/12)*'Analyzier - Inputs'!$B$4*'Analyzier - Inputs'!$H$12</f>
        <v>18945.836000000003</v>
      </c>
      <c r="AH7" s="61">
        <f>(AF7-AG7)*'Analyzier - Inputs'!$F$4*(1-'Analyzier - Inputs'!$I$4)</f>
        <v>25590.52496000001</v>
      </c>
      <c r="AI7" s="61">
        <f t="shared" si="16"/>
        <v>-257347.37519999995</v>
      </c>
      <c r="AJ7">
        <f t="shared" si="7"/>
        <v>1</v>
      </c>
      <c r="AK7" s="60">
        <f>'Analyzier - Inputs'!$E$13*K7*'Analyzier - Inputs'!$E$4*'Analyzier - Inputs'!$B$4*'Analyzier - Inputs'!$H$13*'Analyzier - Inputs'!$G$4*'Analyzier - Inputs'!$H$4</f>
        <v>52977.144208695667</v>
      </c>
      <c r="AL7" s="61">
        <f>('Analyzier - Inputs'!$F$12/1000)*'Analyzier - Inputs'!$C$22*24*(365/12)*'Analyzier - Inputs'!$B$4*'Analyzier - Inputs'!$H$12</f>
        <v>18945.836000000003</v>
      </c>
      <c r="AM7" s="61">
        <f>(AK7-AL7)*'Analyzier - Inputs'!$F$4</f>
        <v>34031.308208695664</v>
      </c>
      <c r="AN7" s="61">
        <f t="shared" si="17"/>
        <v>-452229.45593321737</v>
      </c>
      <c r="AO7">
        <f t="shared" si="8"/>
        <v>1</v>
      </c>
      <c r="AP7" s="60">
        <f>'Analyzier - Inputs'!$E$14*K7*'Analyzier - Inputs'!$E$4*'Analyzier - Inputs'!$B$4*'Analyzier - Inputs'!$H$14*'Analyzier - Inputs'!$G$4*'Analyzier - Inputs'!$H$4</f>
        <v>65685.224347826093</v>
      </c>
      <c r="AQ7" s="61">
        <f>('Analyzier - Inputs'!$F$12/1000)*'Analyzier - Inputs'!$C$22*24*(365/12)*'Analyzier - Inputs'!$B$4*'Analyzier - Inputs'!$H$12</f>
        <v>18945.836000000003</v>
      </c>
      <c r="AR7" s="61">
        <f>(AP7-AQ7)*'Analyzier - Inputs'!$F$4</f>
        <v>46739.38834782609</v>
      </c>
      <c r="AS7" s="61">
        <f t="shared" si="18"/>
        <v>-641705.70164869563</v>
      </c>
      <c r="AT7">
        <f t="shared" si="9"/>
        <v>1</v>
      </c>
    </row>
    <row r="8" spans="1:46" x14ac:dyDescent="0.2">
      <c r="A8" s="31" t="s">
        <v>45</v>
      </c>
      <c r="B8" s="30">
        <v>44166</v>
      </c>
      <c r="C8" s="31">
        <f t="shared" si="0"/>
        <v>1</v>
      </c>
      <c r="D8" s="31">
        <v>6</v>
      </c>
      <c r="E8" s="29">
        <f t="shared" si="10"/>
        <v>115000</v>
      </c>
      <c r="F8" s="36">
        <f t="shared" si="10"/>
        <v>9000</v>
      </c>
      <c r="G8" s="36">
        <v>6.25</v>
      </c>
      <c r="H8" s="36">
        <f t="shared" si="1"/>
        <v>27450</v>
      </c>
      <c r="I8" s="37">
        <f>H8*'Analyzier - Inputs'!$D$4</f>
        <v>1098</v>
      </c>
      <c r="J8" s="36">
        <f t="shared" si="2"/>
        <v>28548</v>
      </c>
      <c r="K8" s="84">
        <f t="shared" si="11"/>
        <v>2.4824347826086959E-4</v>
      </c>
      <c r="L8" s="60">
        <f>'Analyzier - Inputs'!$E$8*K8*'Analyzier - Inputs'!$E$4*'Analyzier - Inputs'!$B$4*'Analyzier - Inputs'!$H$8</f>
        <v>55832.440695652178</v>
      </c>
      <c r="M8" s="61">
        <f>('Analyzier - Inputs'!$F$8/1000)*'Analyzier - Inputs'!$C$22*24*(365/12)*'Analyzier - Inputs'!$B$4*'Analyzier - Inputs'!$H$8</f>
        <v>18972.408000000003</v>
      </c>
      <c r="N8" s="61">
        <f>(L8-M8)*'Analyzier - Inputs'!$F$4*(1-'Analyzier - Inputs'!$I$4)</f>
        <v>33911.230080000001</v>
      </c>
      <c r="O8" s="43">
        <f t="shared" si="12"/>
        <v>-406112.61951999995</v>
      </c>
      <c r="P8">
        <f t="shared" si="3"/>
        <v>1</v>
      </c>
      <c r="Q8" s="60">
        <f>'Analyzier - Inputs'!$E$9*K8*'Analyzier - Inputs'!$E$4*'Analyzier - Inputs'!$B$4*'Analyzier - Inputs'!$H$9</f>
        <v>44576.584904347823</v>
      </c>
      <c r="R8" s="61">
        <f>('Analyzier - Inputs'!$F$9/1000)*'Analyzier - Inputs'!$C$22*24*(365/12)*'Analyzier - Inputs'!$B$4*'Analyzier - Inputs'!$H$9</f>
        <v>18934.448</v>
      </c>
      <c r="S8" s="61">
        <f>(Q8-R8)*'Analyzier - Inputs'!$F$4*(1-'Analyzier - Inputs'!$I$4)</f>
        <v>23590.765951999998</v>
      </c>
      <c r="T8" s="61">
        <f t="shared" si="13"/>
        <v>-284195.40428800008</v>
      </c>
      <c r="U8">
        <f t="shared" si="4"/>
        <v>1</v>
      </c>
      <c r="V8" s="60">
        <f>'Analyzier - Inputs'!$E$10*K8*'Analyzier - Inputs'!$E$4*'Analyzier - Inputs'!$B$4*'Analyzier - Inputs'!$H$10</f>
        <v>31904.251826086962</v>
      </c>
      <c r="W8" s="61">
        <f>('Analyzier - Inputs'!$F$10/1000)*'Analyzier - Inputs'!$C$22*24*(365/12)*'Analyzier - Inputs'!$B$4*'Analyzier - Inputs'!$H$10</f>
        <v>18972.408000000003</v>
      </c>
      <c r="X8" s="61">
        <f>(V8-W8)*'Analyzier - Inputs'!$F$4*(1-'Analyzier - Inputs'!$I$4)</f>
        <v>11897.296320000003</v>
      </c>
      <c r="Y8" s="61">
        <f t="shared" si="14"/>
        <v>-116796.22208000001</v>
      </c>
      <c r="Z8">
        <f t="shared" si="5"/>
        <v>1</v>
      </c>
      <c r="AA8" s="60">
        <f>'Analyzier - Inputs'!$E$11*K8*'Analyzier - Inputs'!$E$4*'Analyzier - Inputs'!$B$4*'Analyzier - Inputs'!$H$11</f>
        <v>64311.196695652179</v>
      </c>
      <c r="AB8" s="61">
        <f>('Analyzier - Inputs'!$F$11/1000)*'Analyzier - Inputs'!$C$22*24*(365/12)*'Analyzier - Inputs'!$B$4*'Analyzier - Inputs'!$H$11</f>
        <v>18978.102000000003</v>
      </c>
      <c r="AC8" s="61">
        <f>(AA8-AB8)*'Analyzier - Inputs'!$F$4*(1-'Analyzier - Inputs'!$I$4)</f>
        <v>41706.447120000004</v>
      </c>
      <c r="AD8" s="61">
        <f t="shared" si="15"/>
        <v>-499741.31727999984</v>
      </c>
      <c r="AE8">
        <f t="shared" si="6"/>
        <v>1</v>
      </c>
      <c r="AF8" s="60">
        <f>'Analyzier - Inputs'!$E$12*K8*'Analyzier - Inputs'!$E$4*'Analyzier - Inputs'!$B$4*'Analyzier - Inputs'!$H$12</f>
        <v>46761.624000000011</v>
      </c>
      <c r="AG8" s="61">
        <f>('Analyzier - Inputs'!$F$12/1000)*'Analyzier - Inputs'!$C$22*24*(365/12)*'Analyzier - Inputs'!$B$4*'Analyzier - Inputs'!$H$12</f>
        <v>18945.836000000003</v>
      </c>
      <c r="AH8" s="61">
        <f>(AF8-AG8)*'Analyzier - Inputs'!$F$4*(1-'Analyzier - Inputs'!$I$4)</f>
        <v>25590.52496000001</v>
      </c>
      <c r="AI8" s="61">
        <f t="shared" si="16"/>
        <v>-231756.85023999994</v>
      </c>
      <c r="AJ8">
        <f t="shared" si="7"/>
        <v>1</v>
      </c>
      <c r="AK8" s="60">
        <f>'Analyzier - Inputs'!$E$13*K8*'Analyzier - Inputs'!$E$4*'Analyzier - Inputs'!$B$4*'Analyzier - Inputs'!$H$13*'Analyzier - Inputs'!$G$4*'Analyzier - Inputs'!$H$4</f>
        <v>52977.144208695667</v>
      </c>
      <c r="AL8" s="61">
        <f>('Analyzier - Inputs'!$F$12/1000)*'Analyzier - Inputs'!$C$22*24*(365/12)*'Analyzier - Inputs'!$B$4*'Analyzier - Inputs'!$H$12</f>
        <v>18945.836000000003</v>
      </c>
      <c r="AM8" s="61">
        <f>(AK8-AL8)*'Analyzier - Inputs'!$F$4</f>
        <v>34031.308208695664</v>
      </c>
      <c r="AN8" s="61">
        <f t="shared" si="17"/>
        <v>-418198.1477245217</v>
      </c>
      <c r="AO8">
        <f t="shared" si="8"/>
        <v>1</v>
      </c>
      <c r="AP8" s="60">
        <f>'Analyzier - Inputs'!$E$14*K8*'Analyzier - Inputs'!$E$4*'Analyzier - Inputs'!$B$4*'Analyzier - Inputs'!$H$14*'Analyzier - Inputs'!$G$4*'Analyzier - Inputs'!$H$4</f>
        <v>65685.224347826093</v>
      </c>
      <c r="AQ8" s="61">
        <f>('Analyzier - Inputs'!$F$12/1000)*'Analyzier - Inputs'!$C$22*24*(365/12)*'Analyzier - Inputs'!$B$4*'Analyzier - Inputs'!$H$12</f>
        <v>18945.836000000003</v>
      </c>
      <c r="AR8" s="61">
        <f>(AP8-AQ8)*'Analyzier - Inputs'!$F$4</f>
        <v>46739.38834782609</v>
      </c>
      <c r="AS8" s="61">
        <f t="shared" si="18"/>
        <v>-594966.31330086954</v>
      </c>
      <c r="AT8">
        <f t="shared" si="9"/>
        <v>1</v>
      </c>
    </row>
    <row r="9" spans="1:46" x14ac:dyDescent="0.2">
      <c r="A9" s="31" t="s">
        <v>46</v>
      </c>
      <c r="B9" s="30">
        <v>44197</v>
      </c>
      <c r="C9" s="31">
        <f t="shared" si="0"/>
        <v>1</v>
      </c>
      <c r="D9" s="31">
        <v>7</v>
      </c>
      <c r="E9" s="29">
        <f t="shared" si="10"/>
        <v>115000</v>
      </c>
      <c r="F9" s="36">
        <f t="shared" si="10"/>
        <v>9000</v>
      </c>
      <c r="G9" s="36">
        <v>6.25</v>
      </c>
      <c r="H9" s="36">
        <f t="shared" si="1"/>
        <v>27450</v>
      </c>
      <c r="I9" s="37">
        <f>H9*'Analyzier - Inputs'!$D$4</f>
        <v>1098</v>
      </c>
      <c r="J9" s="36">
        <f t="shared" si="2"/>
        <v>28548</v>
      </c>
      <c r="K9" s="84">
        <f t="shared" si="11"/>
        <v>2.4824347826086959E-4</v>
      </c>
      <c r="L9" s="60">
        <f>'Analyzier - Inputs'!$E$8*K9*'Analyzier - Inputs'!$E$4*'Analyzier - Inputs'!$B$4*'Analyzier - Inputs'!$H$8</f>
        <v>55832.440695652178</v>
      </c>
      <c r="M9" s="61">
        <f>('Analyzier - Inputs'!$F$8/1000)*'Analyzier - Inputs'!$C$22*24*(365/12)*'Analyzier - Inputs'!$B$4*'Analyzier - Inputs'!$H$8</f>
        <v>18972.408000000003</v>
      </c>
      <c r="N9" s="61">
        <f>(L9-M9)*'Analyzier - Inputs'!$F$4*(1-'Analyzier - Inputs'!$I$4)</f>
        <v>33911.230080000001</v>
      </c>
      <c r="O9" s="43">
        <f t="shared" si="12"/>
        <v>-372201.38943999994</v>
      </c>
      <c r="P9">
        <f t="shared" si="3"/>
        <v>1</v>
      </c>
      <c r="Q9" s="60">
        <f>'Analyzier - Inputs'!$E$9*K9*'Analyzier - Inputs'!$E$4*'Analyzier - Inputs'!$B$4*'Analyzier - Inputs'!$H$9</f>
        <v>44576.584904347823</v>
      </c>
      <c r="R9" s="61">
        <f>('Analyzier - Inputs'!$F$9/1000)*'Analyzier - Inputs'!$C$22*24*(365/12)*'Analyzier - Inputs'!$B$4*'Analyzier - Inputs'!$H$9</f>
        <v>18934.448</v>
      </c>
      <c r="S9" s="61">
        <f>(Q9-R9)*'Analyzier - Inputs'!$F$4*(1-'Analyzier - Inputs'!$I$4)</f>
        <v>23590.765951999998</v>
      </c>
      <c r="T9" s="61">
        <f t="shared" si="13"/>
        <v>-260604.63833600009</v>
      </c>
      <c r="U9">
        <f t="shared" si="4"/>
        <v>1</v>
      </c>
      <c r="V9" s="60">
        <f>'Analyzier - Inputs'!$E$10*K9*'Analyzier - Inputs'!$E$4*'Analyzier - Inputs'!$B$4*'Analyzier - Inputs'!$H$10</f>
        <v>31904.251826086962</v>
      </c>
      <c r="W9" s="61">
        <f>('Analyzier - Inputs'!$F$10/1000)*'Analyzier - Inputs'!$C$22*24*(365/12)*'Analyzier - Inputs'!$B$4*'Analyzier - Inputs'!$H$10</f>
        <v>18972.408000000003</v>
      </c>
      <c r="X9" s="61">
        <f>(V9-W9)*'Analyzier - Inputs'!$F$4*(1-'Analyzier - Inputs'!$I$4)</f>
        <v>11897.296320000003</v>
      </c>
      <c r="Y9" s="61">
        <f t="shared" si="14"/>
        <v>-104898.92576</v>
      </c>
      <c r="Z9">
        <f t="shared" si="5"/>
        <v>1</v>
      </c>
      <c r="AA9" s="60">
        <f>'Analyzier - Inputs'!$E$11*K9*'Analyzier - Inputs'!$E$4*'Analyzier - Inputs'!$B$4*'Analyzier - Inputs'!$H$11</f>
        <v>64311.196695652179</v>
      </c>
      <c r="AB9" s="61">
        <f>('Analyzier - Inputs'!$F$11/1000)*'Analyzier - Inputs'!$C$22*24*(365/12)*'Analyzier - Inputs'!$B$4*'Analyzier - Inputs'!$H$11</f>
        <v>18978.102000000003</v>
      </c>
      <c r="AC9" s="61">
        <f>(AA9-AB9)*'Analyzier - Inputs'!$F$4*(1-'Analyzier - Inputs'!$I$4)</f>
        <v>41706.447120000004</v>
      </c>
      <c r="AD9" s="61">
        <f t="shared" si="15"/>
        <v>-458034.87015999982</v>
      </c>
      <c r="AE9">
        <f t="shared" si="6"/>
        <v>1</v>
      </c>
      <c r="AF9" s="60">
        <f>'Analyzier - Inputs'!$E$12*K9*'Analyzier - Inputs'!$E$4*'Analyzier - Inputs'!$B$4*'Analyzier - Inputs'!$H$12</f>
        <v>46761.624000000011</v>
      </c>
      <c r="AG9" s="61">
        <f>('Analyzier - Inputs'!$F$12/1000)*'Analyzier - Inputs'!$C$22*24*(365/12)*'Analyzier - Inputs'!$B$4*'Analyzier - Inputs'!$H$12</f>
        <v>18945.836000000003</v>
      </c>
      <c r="AH9" s="61">
        <f>(AF9-AG9)*'Analyzier - Inputs'!$F$4*(1-'Analyzier - Inputs'!$I$4)</f>
        <v>25590.52496000001</v>
      </c>
      <c r="AI9" s="61">
        <f t="shared" si="16"/>
        <v>-206166.32527999993</v>
      </c>
      <c r="AJ9">
        <f t="shared" si="7"/>
        <v>1</v>
      </c>
      <c r="AK9" s="60">
        <f>'Analyzier - Inputs'!$E$13*K9*'Analyzier - Inputs'!$E$4*'Analyzier - Inputs'!$B$4*'Analyzier - Inputs'!$H$13*'Analyzier - Inputs'!$G$4*'Analyzier - Inputs'!$H$4</f>
        <v>52977.144208695667</v>
      </c>
      <c r="AL9" s="61">
        <f>('Analyzier - Inputs'!$F$12/1000)*'Analyzier - Inputs'!$C$22*24*(365/12)*'Analyzier - Inputs'!$B$4*'Analyzier - Inputs'!$H$12</f>
        <v>18945.836000000003</v>
      </c>
      <c r="AM9" s="61">
        <f>(AK9-AL9)*'Analyzier - Inputs'!$F$4</f>
        <v>34031.308208695664</v>
      </c>
      <c r="AN9" s="61">
        <f t="shared" si="17"/>
        <v>-384166.83951582602</v>
      </c>
      <c r="AO9">
        <f t="shared" si="8"/>
        <v>1</v>
      </c>
      <c r="AP9" s="60">
        <f>'Analyzier - Inputs'!$E$14*K9*'Analyzier - Inputs'!$E$4*'Analyzier - Inputs'!$B$4*'Analyzier - Inputs'!$H$14*'Analyzier - Inputs'!$G$4*'Analyzier - Inputs'!$H$4</f>
        <v>65685.224347826093</v>
      </c>
      <c r="AQ9" s="61">
        <f>('Analyzier - Inputs'!$F$12/1000)*'Analyzier - Inputs'!$C$22*24*(365/12)*'Analyzier - Inputs'!$B$4*'Analyzier - Inputs'!$H$12</f>
        <v>18945.836000000003</v>
      </c>
      <c r="AR9" s="61">
        <f>(AP9-AQ9)*'Analyzier - Inputs'!$F$4</f>
        <v>46739.38834782609</v>
      </c>
      <c r="AS9" s="61">
        <f t="shared" si="18"/>
        <v>-548226.92495304346</v>
      </c>
      <c r="AT9">
        <f t="shared" si="9"/>
        <v>1</v>
      </c>
    </row>
    <row r="10" spans="1:46" x14ac:dyDescent="0.2">
      <c r="A10" s="31" t="s">
        <v>47</v>
      </c>
      <c r="B10" s="30">
        <v>44228</v>
      </c>
      <c r="C10" s="31">
        <f t="shared" si="0"/>
        <v>1</v>
      </c>
      <c r="D10" s="31">
        <v>8</v>
      </c>
      <c r="E10" s="29">
        <f t="shared" si="10"/>
        <v>115000</v>
      </c>
      <c r="F10" s="36">
        <f t="shared" si="10"/>
        <v>9000</v>
      </c>
      <c r="G10" s="36">
        <v>6.25</v>
      </c>
      <c r="H10" s="36">
        <f t="shared" si="1"/>
        <v>27450</v>
      </c>
      <c r="I10" s="37">
        <f>H10*'Analyzier - Inputs'!$D$4</f>
        <v>1098</v>
      </c>
      <c r="J10" s="36">
        <f t="shared" si="2"/>
        <v>28548</v>
      </c>
      <c r="K10" s="84">
        <f t="shared" si="11"/>
        <v>2.4824347826086959E-4</v>
      </c>
      <c r="L10" s="60">
        <f>'Analyzier - Inputs'!$E$8*K10*'Analyzier - Inputs'!$E$4*'Analyzier - Inputs'!$B$4*'Analyzier - Inputs'!$H$8</f>
        <v>55832.440695652178</v>
      </c>
      <c r="M10" s="61">
        <f>('Analyzier - Inputs'!$F$8/1000)*'Analyzier - Inputs'!$C$22*24*(365/12)*'Analyzier - Inputs'!$B$4*'Analyzier - Inputs'!$H$8</f>
        <v>18972.408000000003</v>
      </c>
      <c r="N10" s="61">
        <f>(L10-M10)*'Analyzier - Inputs'!$F$4*(1-'Analyzier - Inputs'!$I$4)</f>
        <v>33911.230080000001</v>
      </c>
      <c r="O10" s="43">
        <f t="shared" si="12"/>
        <v>-338290.15935999993</v>
      </c>
      <c r="P10">
        <f t="shared" si="3"/>
        <v>1</v>
      </c>
      <c r="Q10" s="60">
        <f>'Analyzier - Inputs'!$E$9*K10*'Analyzier - Inputs'!$E$4*'Analyzier - Inputs'!$B$4*'Analyzier - Inputs'!$H$9</f>
        <v>44576.584904347823</v>
      </c>
      <c r="R10" s="61">
        <f>('Analyzier - Inputs'!$F$9/1000)*'Analyzier - Inputs'!$C$22*24*(365/12)*'Analyzier - Inputs'!$B$4*'Analyzier - Inputs'!$H$9</f>
        <v>18934.448</v>
      </c>
      <c r="S10" s="61">
        <f>(Q10-R10)*'Analyzier - Inputs'!$F$4*(1-'Analyzier - Inputs'!$I$4)</f>
        <v>23590.765951999998</v>
      </c>
      <c r="T10" s="61">
        <f t="shared" si="13"/>
        <v>-237013.8723840001</v>
      </c>
      <c r="U10">
        <f t="shared" si="4"/>
        <v>1</v>
      </c>
      <c r="V10" s="60">
        <f>'Analyzier - Inputs'!$E$10*K10*'Analyzier - Inputs'!$E$4*'Analyzier - Inputs'!$B$4*'Analyzier - Inputs'!$H$10</f>
        <v>31904.251826086962</v>
      </c>
      <c r="W10" s="61">
        <f>('Analyzier - Inputs'!$F$10/1000)*'Analyzier - Inputs'!$C$22*24*(365/12)*'Analyzier - Inputs'!$B$4*'Analyzier - Inputs'!$H$10</f>
        <v>18972.408000000003</v>
      </c>
      <c r="X10" s="61">
        <f>(V10-W10)*'Analyzier - Inputs'!$F$4*(1-'Analyzier - Inputs'!$I$4)</f>
        <v>11897.296320000003</v>
      </c>
      <c r="Y10" s="61">
        <f t="shared" si="14"/>
        <v>-93001.62943999999</v>
      </c>
      <c r="Z10">
        <f t="shared" si="5"/>
        <v>1</v>
      </c>
      <c r="AA10" s="60">
        <f>'Analyzier - Inputs'!$E$11*K10*'Analyzier - Inputs'!$E$4*'Analyzier - Inputs'!$B$4*'Analyzier - Inputs'!$H$11</f>
        <v>64311.196695652179</v>
      </c>
      <c r="AB10" s="61">
        <f>('Analyzier - Inputs'!$F$11/1000)*'Analyzier - Inputs'!$C$22*24*(365/12)*'Analyzier - Inputs'!$B$4*'Analyzier - Inputs'!$H$11</f>
        <v>18978.102000000003</v>
      </c>
      <c r="AC10" s="61">
        <f>(AA10-AB10)*'Analyzier - Inputs'!$F$4*(1-'Analyzier - Inputs'!$I$4)</f>
        <v>41706.447120000004</v>
      </c>
      <c r="AD10" s="61">
        <f t="shared" si="15"/>
        <v>-416328.42303999979</v>
      </c>
      <c r="AE10">
        <f t="shared" si="6"/>
        <v>1</v>
      </c>
      <c r="AF10" s="60">
        <f>'Analyzier - Inputs'!$E$12*K10*'Analyzier - Inputs'!$E$4*'Analyzier - Inputs'!$B$4*'Analyzier - Inputs'!$H$12</f>
        <v>46761.624000000011</v>
      </c>
      <c r="AG10" s="61">
        <f>('Analyzier - Inputs'!$F$12/1000)*'Analyzier - Inputs'!$C$22*24*(365/12)*'Analyzier - Inputs'!$B$4*'Analyzier - Inputs'!$H$12</f>
        <v>18945.836000000003</v>
      </c>
      <c r="AH10" s="61">
        <f>(AF10-AG10)*'Analyzier - Inputs'!$F$4*(1-'Analyzier - Inputs'!$I$4)</f>
        <v>25590.52496000001</v>
      </c>
      <c r="AI10" s="61">
        <f t="shared" si="16"/>
        <v>-180575.80031999992</v>
      </c>
      <c r="AJ10">
        <f t="shared" si="7"/>
        <v>1</v>
      </c>
      <c r="AK10" s="60">
        <f>'Analyzier - Inputs'!$E$13*K10*'Analyzier - Inputs'!$E$4*'Analyzier - Inputs'!$B$4*'Analyzier - Inputs'!$H$13*'Analyzier - Inputs'!$G$4*'Analyzier - Inputs'!$H$4</f>
        <v>52977.144208695667</v>
      </c>
      <c r="AL10" s="61">
        <f>('Analyzier - Inputs'!$F$12/1000)*'Analyzier - Inputs'!$C$22*24*(365/12)*'Analyzier - Inputs'!$B$4*'Analyzier - Inputs'!$H$12</f>
        <v>18945.836000000003</v>
      </c>
      <c r="AM10" s="61">
        <f>(AK10-AL10)*'Analyzier - Inputs'!$F$4</f>
        <v>34031.308208695664</v>
      </c>
      <c r="AN10" s="61">
        <f t="shared" si="17"/>
        <v>-350135.53130713035</v>
      </c>
      <c r="AO10">
        <f t="shared" si="8"/>
        <v>1</v>
      </c>
      <c r="AP10" s="60">
        <f>'Analyzier - Inputs'!$E$14*K10*'Analyzier - Inputs'!$E$4*'Analyzier - Inputs'!$B$4*'Analyzier - Inputs'!$H$14*'Analyzier - Inputs'!$G$4*'Analyzier - Inputs'!$H$4</f>
        <v>65685.224347826093</v>
      </c>
      <c r="AQ10" s="61">
        <f>('Analyzier - Inputs'!$F$12/1000)*'Analyzier - Inputs'!$C$22*24*(365/12)*'Analyzier - Inputs'!$B$4*'Analyzier - Inputs'!$H$12</f>
        <v>18945.836000000003</v>
      </c>
      <c r="AR10" s="61">
        <f>(AP10-AQ10)*'Analyzier - Inputs'!$F$4</f>
        <v>46739.38834782609</v>
      </c>
      <c r="AS10" s="61">
        <f t="shared" si="18"/>
        <v>-501487.53660521738</v>
      </c>
      <c r="AT10">
        <f t="shared" si="9"/>
        <v>1</v>
      </c>
    </row>
    <row r="11" spans="1:46" x14ac:dyDescent="0.2">
      <c r="A11" s="31" t="s">
        <v>48</v>
      </c>
      <c r="B11" s="30">
        <v>44256</v>
      </c>
      <c r="C11" s="31">
        <f t="shared" si="0"/>
        <v>1</v>
      </c>
      <c r="D11" s="31">
        <v>9</v>
      </c>
      <c r="E11" s="29">
        <f t="shared" si="10"/>
        <v>115000</v>
      </c>
      <c r="F11" s="36">
        <f t="shared" si="10"/>
        <v>9000</v>
      </c>
      <c r="G11" s="36">
        <v>6.25</v>
      </c>
      <c r="H11" s="36">
        <f t="shared" si="1"/>
        <v>27450</v>
      </c>
      <c r="I11" s="37">
        <f>H11*'Analyzier - Inputs'!$D$4</f>
        <v>1098</v>
      </c>
      <c r="J11" s="36">
        <f t="shared" si="2"/>
        <v>28548</v>
      </c>
      <c r="K11" s="84">
        <f t="shared" si="11"/>
        <v>2.4824347826086959E-4</v>
      </c>
      <c r="L11" s="60">
        <f>'Analyzier - Inputs'!$E$8*K11*'Analyzier - Inputs'!$E$4*'Analyzier - Inputs'!$B$4*'Analyzier - Inputs'!$H$8</f>
        <v>55832.440695652178</v>
      </c>
      <c r="M11" s="61">
        <f>('Analyzier - Inputs'!$F$8/1000)*'Analyzier - Inputs'!$C$22*24*(365/12)*'Analyzier - Inputs'!$B$4*'Analyzier - Inputs'!$H$8</f>
        <v>18972.408000000003</v>
      </c>
      <c r="N11" s="61">
        <f>(L11-M11)*'Analyzier - Inputs'!$F$4*(1-'Analyzier - Inputs'!$I$4)</f>
        <v>33911.230080000001</v>
      </c>
      <c r="O11" s="43">
        <f t="shared" si="12"/>
        <v>-304378.92927999992</v>
      </c>
      <c r="P11">
        <f t="shared" si="3"/>
        <v>1</v>
      </c>
      <c r="Q11" s="60">
        <f>'Analyzier - Inputs'!$E$9*K11*'Analyzier - Inputs'!$E$4*'Analyzier - Inputs'!$B$4*'Analyzier - Inputs'!$H$9</f>
        <v>44576.584904347823</v>
      </c>
      <c r="R11" s="61">
        <f>('Analyzier - Inputs'!$F$9/1000)*'Analyzier - Inputs'!$C$22*24*(365/12)*'Analyzier - Inputs'!$B$4*'Analyzier - Inputs'!$H$9</f>
        <v>18934.448</v>
      </c>
      <c r="S11" s="61">
        <f>(Q11-R11)*'Analyzier - Inputs'!$F$4*(1-'Analyzier - Inputs'!$I$4)</f>
        <v>23590.765951999998</v>
      </c>
      <c r="T11" s="61">
        <f t="shared" si="13"/>
        <v>-213423.10643200012</v>
      </c>
      <c r="U11">
        <f t="shared" si="4"/>
        <v>1</v>
      </c>
      <c r="V11" s="60">
        <f>'Analyzier - Inputs'!$E$10*K11*'Analyzier - Inputs'!$E$4*'Analyzier - Inputs'!$B$4*'Analyzier - Inputs'!$H$10</f>
        <v>31904.251826086962</v>
      </c>
      <c r="W11" s="61">
        <f>('Analyzier - Inputs'!$F$10/1000)*'Analyzier - Inputs'!$C$22*24*(365/12)*'Analyzier - Inputs'!$B$4*'Analyzier - Inputs'!$H$10</f>
        <v>18972.408000000003</v>
      </c>
      <c r="X11" s="61">
        <f>(V11-W11)*'Analyzier - Inputs'!$F$4*(1-'Analyzier - Inputs'!$I$4)</f>
        <v>11897.296320000003</v>
      </c>
      <c r="Y11" s="61">
        <f t="shared" si="14"/>
        <v>-81104.333119999981</v>
      </c>
      <c r="Z11">
        <f t="shared" si="5"/>
        <v>1</v>
      </c>
      <c r="AA11" s="60">
        <f>'Analyzier - Inputs'!$E$11*K11*'Analyzier - Inputs'!$E$4*'Analyzier - Inputs'!$B$4*'Analyzier - Inputs'!$H$11</f>
        <v>64311.196695652179</v>
      </c>
      <c r="AB11" s="61">
        <f>('Analyzier - Inputs'!$F$11/1000)*'Analyzier - Inputs'!$C$22*24*(365/12)*'Analyzier - Inputs'!$B$4*'Analyzier - Inputs'!$H$11</f>
        <v>18978.102000000003</v>
      </c>
      <c r="AC11" s="61">
        <f>(AA11-AB11)*'Analyzier - Inputs'!$F$4*(1-'Analyzier - Inputs'!$I$4)</f>
        <v>41706.447120000004</v>
      </c>
      <c r="AD11" s="61">
        <f t="shared" si="15"/>
        <v>-374621.97591999976</v>
      </c>
      <c r="AE11">
        <f t="shared" si="6"/>
        <v>1</v>
      </c>
      <c r="AF11" s="60">
        <f>'Analyzier - Inputs'!$E$12*K11*'Analyzier - Inputs'!$E$4*'Analyzier - Inputs'!$B$4*'Analyzier - Inputs'!$H$12</f>
        <v>46761.624000000011</v>
      </c>
      <c r="AG11" s="61">
        <f>('Analyzier - Inputs'!$F$12/1000)*'Analyzier - Inputs'!$C$22*24*(365/12)*'Analyzier - Inputs'!$B$4*'Analyzier - Inputs'!$H$12</f>
        <v>18945.836000000003</v>
      </c>
      <c r="AH11" s="61">
        <f>(AF11-AG11)*'Analyzier - Inputs'!$F$4*(1-'Analyzier - Inputs'!$I$4)</f>
        <v>25590.52496000001</v>
      </c>
      <c r="AI11" s="61">
        <f t="shared" si="16"/>
        <v>-154985.27535999991</v>
      </c>
      <c r="AJ11">
        <f t="shared" si="7"/>
        <v>1</v>
      </c>
      <c r="AK11" s="60">
        <f>'Analyzier - Inputs'!$E$13*K11*'Analyzier - Inputs'!$E$4*'Analyzier - Inputs'!$B$4*'Analyzier - Inputs'!$H$13*'Analyzier - Inputs'!$G$4*'Analyzier - Inputs'!$H$4</f>
        <v>52977.144208695667</v>
      </c>
      <c r="AL11" s="61">
        <f>('Analyzier - Inputs'!$F$12/1000)*'Analyzier - Inputs'!$C$22*24*(365/12)*'Analyzier - Inputs'!$B$4*'Analyzier - Inputs'!$H$12</f>
        <v>18945.836000000003</v>
      </c>
      <c r="AM11" s="61">
        <f>(AK11-AL11)*'Analyzier - Inputs'!$F$4</f>
        <v>34031.308208695664</v>
      </c>
      <c r="AN11" s="61">
        <f t="shared" si="17"/>
        <v>-316104.22309843468</v>
      </c>
      <c r="AO11">
        <f t="shared" si="8"/>
        <v>1</v>
      </c>
      <c r="AP11" s="60">
        <f>'Analyzier - Inputs'!$E$14*K11*'Analyzier - Inputs'!$E$4*'Analyzier - Inputs'!$B$4*'Analyzier - Inputs'!$H$14*'Analyzier - Inputs'!$G$4*'Analyzier - Inputs'!$H$4</f>
        <v>65685.224347826093</v>
      </c>
      <c r="AQ11" s="61">
        <f>('Analyzier - Inputs'!$F$12/1000)*'Analyzier - Inputs'!$C$22*24*(365/12)*'Analyzier - Inputs'!$B$4*'Analyzier - Inputs'!$H$12</f>
        <v>18945.836000000003</v>
      </c>
      <c r="AR11" s="61">
        <f>(AP11-AQ11)*'Analyzier - Inputs'!$F$4</f>
        <v>46739.38834782609</v>
      </c>
      <c r="AS11" s="61">
        <f t="shared" si="18"/>
        <v>-454748.14825739129</v>
      </c>
      <c r="AT11">
        <f t="shared" si="9"/>
        <v>1</v>
      </c>
    </row>
    <row r="12" spans="1:46" x14ac:dyDescent="0.2">
      <c r="A12" s="31" t="s">
        <v>49</v>
      </c>
      <c r="B12" s="30">
        <v>44287</v>
      </c>
      <c r="C12" s="31">
        <f t="shared" si="0"/>
        <v>1</v>
      </c>
      <c r="D12" s="31">
        <v>10</v>
      </c>
      <c r="E12" s="29">
        <f t="shared" si="10"/>
        <v>115000</v>
      </c>
      <c r="F12" s="36">
        <f t="shared" si="10"/>
        <v>9000</v>
      </c>
      <c r="G12" s="36">
        <v>6.25</v>
      </c>
      <c r="H12" s="36">
        <f t="shared" si="1"/>
        <v>27450</v>
      </c>
      <c r="I12" s="37">
        <f>H12*'Analyzier - Inputs'!$D$4</f>
        <v>1098</v>
      </c>
      <c r="J12" s="36">
        <f t="shared" si="2"/>
        <v>28548</v>
      </c>
      <c r="K12" s="84">
        <f t="shared" si="11"/>
        <v>2.4824347826086959E-4</v>
      </c>
      <c r="L12" s="60">
        <f>'Analyzier - Inputs'!$E$8*K12*'Analyzier - Inputs'!$E$4*'Analyzier - Inputs'!$B$4*'Analyzier - Inputs'!$H$8</f>
        <v>55832.440695652178</v>
      </c>
      <c r="M12" s="61">
        <f>('Analyzier - Inputs'!$F$8/1000)*'Analyzier - Inputs'!$C$22*24*(365/12)*'Analyzier - Inputs'!$B$4*'Analyzier - Inputs'!$H$8</f>
        <v>18972.408000000003</v>
      </c>
      <c r="N12" s="61">
        <f>(L12-M12)*'Analyzier - Inputs'!$F$4*(1-'Analyzier - Inputs'!$I$4)</f>
        <v>33911.230080000001</v>
      </c>
      <c r="O12" s="43">
        <f t="shared" si="12"/>
        <v>-270467.69919999992</v>
      </c>
      <c r="P12">
        <f t="shared" si="3"/>
        <v>1</v>
      </c>
      <c r="Q12" s="60">
        <f>'Analyzier - Inputs'!$E$9*K12*'Analyzier - Inputs'!$E$4*'Analyzier - Inputs'!$B$4*'Analyzier - Inputs'!$H$9</f>
        <v>44576.584904347823</v>
      </c>
      <c r="R12" s="61">
        <f>('Analyzier - Inputs'!$F$9/1000)*'Analyzier - Inputs'!$C$22*24*(365/12)*'Analyzier - Inputs'!$B$4*'Analyzier - Inputs'!$H$9</f>
        <v>18934.448</v>
      </c>
      <c r="S12" s="61">
        <f>(Q12-R12)*'Analyzier - Inputs'!$F$4*(1-'Analyzier - Inputs'!$I$4)</f>
        <v>23590.765951999998</v>
      </c>
      <c r="T12" s="61">
        <f t="shared" si="13"/>
        <v>-189832.34048000013</v>
      </c>
      <c r="U12">
        <f t="shared" si="4"/>
        <v>1</v>
      </c>
      <c r="V12" s="60">
        <f>'Analyzier - Inputs'!$E$10*K12*'Analyzier - Inputs'!$E$4*'Analyzier - Inputs'!$B$4*'Analyzier - Inputs'!$H$10</f>
        <v>31904.251826086962</v>
      </c>
      <c r="W12" s="61">
        <f>('Analyzier - Inputs'!$F$10/1000)*'Analyzier - Inputs'!$C$22*24*(365/12)*'Analyzier - Inputs'!$B$4*'Analyzier - Inputs'!$H$10</f>
        <v>18972.408000000003</v>
      </c>
      <c r="X12" s="61">
        <f>(V12-W12)*'Analyzier - Inputs'!$F$4*(1-'Analyzier - Inputs'!$I$4)</f>
        <v>11897.296320000003</v>
      </c>
      <c r="Y12" s="61">
        <f t="shared" si="14"/>
        <v>-69207.036799999973</v>
      </c>
      <c r="Z12">
        <f t="shared" si="5"/>
        <v>1</v>
      </c>
      <c r="AA12" s="60">
        <f>'Analyzier - Inputs'!$E$11*K12*'Analyzier - Inputs'!$E$4*'Analyzier - Inputs'!$B$4*'Analyzier - Inputs'!$H$11</f>
        <v>64311.196695652179</v>
      </c>
      <c r="AB12" s="61">
        <f>('Analyzier - Inputs'!$F$11/1000)*'Analyzier - Inputs'!$C$22*24*(365/12)*'Analyzier - Inputs'!$B$4*'Analyzier - Inputs'!$H$11</f>
        <v>18978.102000000003</v>
      </c>
      <c r="AC12" s="61">
        <f>(AA12-AB12)*'Analyzier - Inputs'!$F$4*(1-'Analyzier - Inputs'!$I$4)</f>
        <v>41706.447120000004</v>
      </c>
      <c r="AD12" s="61">
        <f t="shared" si="15"/>
        <v>-332915.52879999974</v>
      </c>
      <c r="AE12">
        <f t="shared" si="6"/>
        <v>1</v>
      </c>
      <c r="AF12" s="60">
        <f>'Analyzier - Inputs'!$E$12*K12*'Analyzier - Inputs'!$E$4*'Analyzier - Inputs'!$B$4*'Analyzier - Inputs'!$H$12</f>
        <v>46761.624000000011</v>
      </c>
      <c r="AG12" s="61">
        <f>('Analyzier - Inputs'!$F$12/1000)*'Analyzier - Inputs'!$C$22*24*(365/12)*'Analyzier - Inputs'!$B$4*'Analyzier - Inputs'!$H$12</f>
        <v>18945.836000000003</v>
      </c>
      <c r="AH12" s="61">
        <f>(AF12-AG12)*'Analyzier - Inputs'!$F$4*(1-'Analyzier - Inputs'!$I$4)</f>
        <v>25590.52496000001</v>
      </c>
      <c r="AI12" s="61">
        <f t="shared" si="16"/>
        <v>-129394.7503999999</v>
      </c>
      <c r="AJ12">
        <f t="shared" si="7"/>
        <v>1</v>
      </c>
      <c r="AK12" s="60">
        <f>'Analyzier - Inputs'!$E$13*K12*'Analyzier - Inputs'!$E$4*'Analyzier - Inputs'!$B$4*'Analyzier - Inputs'!$H$13*'Analyzier - Inputs'!$G$4*'Analyzier - Inputs'!$H$4</f>
        <v>52977.144208695667</v>
      </c>
      <c r="AL12" s="61">
        <f>('Analyzier - Inputs'!$F$12/1000)*'Analyzier - Inputs'!$C$22*24*(365/12)*'Analyzier - Inputs'!$B$4*'Analyzier - Inputs'!$H$12</f>
        <v>18945.836000000003</v>
      </c>
      <c r="AM12" s="61">
        <f>(AK12-AL12)*'Analyzier - Inputs'!$F$4</f>
        <v>34031.308208695664</v>
      </c>
      <c r="AN12" s="61">
        <f t="shared" si="17"/>
        <v>-282072.91488973901</v>
      </c>
      <c r="AO12">
        <f t="shared" si="8"/>
        <v>1</v>
      </c>
      <c r="AP12" s="60">
        <f>'Analyzier - Inputs'!$E$14*K12*'Analyzier - Inputs'!$E$4*'Analyzier - Inputs'!$B$4*'Analyzier - Inputs'!$H$14*'Analyzier - Inputs'!$G$4*'Analyzier - Inputs'!$H$4</f>
        <v>65685.224347826093</v>
      </c>
      <c r="AQ12" s="61">
        <f>('Analyzier - Inputs'!$F$12/1000)*'Analyzier - Inputs'!$C$22*24*(365/12)*'Analyzier - Inputs'!$B$4*'Analyzier - Inputs'!$H$12</f>
        <v>18945.836000000003</v>
      </c>
      <c r="AR12" s="61">
        <f>(AP12-AQ12)*'Analyzier - Inputs'!$F$4</f>
        <v>46739.38834782609</v>
      </c>
      <c r="AS12" s="61">
        <f t="shared" si="18"/>
        <v>-408008.75990956521</v>
      </c>
      <c r="AT12">
        <f t="shared" si="9"/>
        <v>1</v>
      </c>
    </row>
    <row r="13" spans="1:46" x14ac:dyDescent="0.2">
      <c r="A13" s="31" t="s">
        <v>50</v>
      </c>
      <c r="B13" s="30">
        <v>44317</v>
      </c>
      <c r="C13" s="31">
        <f t="shared" si="0"/>
        <v>1</v>
      </c>
      <c r="D13" s="31">
        <v>11</v>
      </c>
      <c r="E13" s="29">
        <f t="shared" si="10"/>
        <v>115000</v>
      </c>
      <c r="F13" s="36">
        <f t="shared" si="10"/>
        <v>9000</v>
      </c>
      <c r="G13" s="36">
        <v>6.25</v>
      </c>
      <c r="H13" s="36">
        <f t="shared" si="1"/>
        <v>27450</v>
      </c>
      <c r="I13" s="37">
        <f>H13*'Analyzier - Inputs'!$D$4</f>
        <v>1098</v>
      </c>
      <c r="J13" s="36">
        <f t="shared" si="2"/>
        <v>28548</v>
      </c>
      <c r="K13" s="84">
        <f t="shared" si="11"/>
        <v>2.4824347826086959E-4</v>
      </c>
      <c r="L13" s="60">
        <f>'Analyzier - Inputs'!$E$8*K13*'Analyzier - Inputs'!$E$4*'Analyzier - Inputs'!$B$4*'Analyzier - Inputs'!$H$8</f>
        <v>55832.440695652178</v>
      </c>
      <c r="M13" s="61">
        <f>('Analyzier - Inputs'!$F$8/1000)*'Analyzier - Inputs'!$C$22*24*(365/12)*'Analyzier - Inputs'!$B$4*'Analyzier - Inputs'!$H$8</f>
        <v>18972.408000000003</v>
      </c>
      <c r="N13" s="61">
        <f>(L13-M13)*'Analyzier - Inputs'!$F$4*(1-'Analyzier - Inputs'!$I$4)</f>
        <v>33911.230080000001</v>
      </c>
      <c r="O13" s="43">
        <f t="shared" si="12"/>
        <v>-236556.46911999991</v>
      </c>
      <c r="P13">
        <f t="shared" si="3"/>
        <v>1</v>
      </c>
      <c r="Q13" s="60">
        <f>'Analyzier - Inputs'!$E$9*K13*'Analyzier - Inputs'!$E$4*'Analyzier - Inputs'!$B$4*'Analyzier - Inputs'!$H$9</f>
        <v>44576.584904347823</v>
      </c>
      <c r="R13" s="61">
        <f>('Analyzier - Inputs'!$F$9/1000)*'Analyzier - Inputs'!$C$22*24*(365/12)*'Analyzier - Inputs'!$B$4*'Analyzier - Inputs'!$H$9</f>
        <v>18934.448</v>
      </c>
      <c r="S13" s="61">
        <f>(Q13-R13)*'Analyzier - Inputs'!$F$4*(1-'Analyzier - Inputs'!$I$4)</f>
        <v>23590.765951999998</v>
      </c>
      <c r="T13" s="61">
        <f t="shared" si="13"/>
        <v>-166241.57452800014</v>
      </c>
      <c r="U13">
        <f t="shared" si="4"/>
        <v>1</v>
      </c>
      <c r="V13" s="60">
        <f>'Analyzier - Inputs'!$E$10*K13*'Analyzier - Inputs'!$E$4*'Analyzier - Inputs'!$B$4*'Analyzier - Inputs'!$H$10</f>
        <v>31904.251826086962</v>
      </c>
      <c r="W13" s="61">
        <f>('Analyzier - Inputs'!$F$10/1000)*'Analyzier - Inputs'!$C$22*24*(365/12)*'Analyzier - Inputs'!$B$4*'Analyzier - Inputs'!$H$10</f>
        <v>18972.408000000003</v>
      </c>
      <c r="X13" s="61">
        <f>(V13-W13)*'Analyzier - Inputs'!$F$4*(1-'Analyzier - Inputs'!$I$4)</f>
        <v>11897.296320000003</v>
      </c>
      <c r="Y13" s="61">
        <f t="shared" si="14"/>
        <v>-57309.740479999971</v>
      </c>
      <c r="Z13">
        <f t="shared" si="5"/>
        <v>1</v>
      </c>
      <c r="AA13" s="60">
        <f>'Analyzier - Inputs'!$E$11*K13*'Analyzier - Inputs'!$E$4*'Analyzier - Inputs'!$B$4*'Analyzier - Inputs'!$H$11</f>
        <v>64311.196695652179</v>
      </c>
      <c r="AB13" s="61">
        <f>('Analyzier - Inputs'!$F$11/1000)*'Analyzier - Inputs'!$C$22*24*(365/12)*'Analyzier - Inputs'!$B$4*'Analyzier - Inputs'!$H$11</f>
        <v>18978.102000000003</v>
      </c>
      <c r="AC13" s="61">
        <f>(AA13-AB13)*'Analyzier - Inputs'!$F$4*(1-'Analyzier - Inputs'!$I$4)</f>
        <v>41706.447120000004</v>
      </c>
      <c r="AD13" s="61">
        <f t="shared" si="15"/>
        <v>-291209.08167999971</v>
      </c>
      <c r="AE13">
        <f t="shared" si="6"/>
        <v>1</v>
      </c>
      <c r="AF13" s="60">
        <f>'Analyzier - Inputs'!$E$12*K13*'Analyzier - Inputs'!$E$4*'Analyzier - Inputs'!$B$4*'Analyzier - Inputs'!$H$12</f>
        <v>46761.624000000011</v>
      </c>
      <c r="AG13" s="61">
        <f>('Analyzier - Inputs'!$F$12/1000)*'Analyzier - Inputs'!$C$22*24*(365/12)*'Analyzier - Inputs'!$B$4*'Analyzier - Inputs'!$H$12</f>
        <v>18945.836000000003</v>
      </c>
      <c r="AH13" s="61">
        <f>(AF13-AG13)*'Analyzier - Inputs'!$F$4*(1-'Analyzier - Inputs'!$I$4)</f>
        <v>25590.52496000001</v>
      </c>
      <c r="AI13" s="61">
        <f t="shared" si="16"/>
        <v>-103804.22543999989</v>
      </c>
      <c r="AJ13">
        <f t="shared" si="7"/>
        <v>1</v>
      </c>
      <c r="AK13" s="60">
        <f>'Analyzier - Inputs'!$E$13*K13*'Analyzier - Inputs'!$E$4*'Analyzier - Inputs'!$B$4*'Analyzier - Inputs'!$H$13*'Analyzier - Inputs'!$G$4*'Analyzier - Inputs'!$H$4</f>
        <v>52977.144208695667</v>
      </c>
      <c r="AL13" s="61">
        <f>('Analyzier - Inputs'!$F$12/1000)*'Analyzier - Inputs'!$C$22*24*(365/12)*'Analyzier - Inputs'!$B$4*'Analyzier - Inputs'!$H$12</f>
        <v>18945.836000000003</v>
      </c>
      <c r="AM13" s="61">
        <f>(AK13-AL13)*'Analyzier - Inputs'!$F$4</f>
        <v>34031.308208695664</v>
      </c>
      <c r="AN13" s="61">
        <f t="shared" si="17"/>
        <v>-248041.60668104334</v>
      </c>
      <c r="AO13">
        <f t="shared" si="8"/>
        <v>1</v>
      </c>
      <c r="AP13" s="60">
        <f>'Analyzier - Inputs'!$E$14*K13*'Analyzier - Inputs'!$E$4*'Analyzier - Inputs'!$B$4*'Analyzier - Inputs'!$H$14*'Analyzier - Inputs'!$G$4*'Analyzier - Inputs'!$H$4</f>
        <v>65685.224347826093</v>
      </c>
      <c r="AQ13" s="61">
        <f>('Analyzier - Inputs'!$F$12/1000)*'Analyzier - Inputs'!$C$22*24*(365/12)*'Analyzier - Inputs'!$B$4*'Analyzier - Inputs'!$H$12</f>
        <v>18945.836000000003</v>
      </c>
      <c r="AR13" s="61">
        <f>(AP13-AQ13)*'Analyzier - Inputs'!$F$4</f>
        <v>46739.38834782609</v>
      </c>
      <c r="AS13" s="61">
        <f t="shared" si="18"/>
        <v>-361269.37156173913</v>
      </c>
      <c r="AT13">
        <f t="shared" si="9"/>
        <v>1</v>
      </c>
    </row>
    <row r="14" spans="1:46" x14ac:dyDescent="0.2">
      <c r="A14" s="31" t="s">
        <v>51</v>
      </c>
      <c r="B14" s="30">
        <v>44348</v>
      </c>
      <c r="C14" s="31">
        <f t="shared" si="0"/>
        <v>1</v>
      </c>
      <c r="D14" s="31">
        <v>12</v>
      </c>
      <c r="E14" s="29">
        <f t="shared" si="10"/>
        <v>115000</v>
      </c>
      <c r="F14" s="36">
        <f t="shared" si="10"/>
        <v>9000</v>
      </c>
      <c r="G14" s="36">
        <v>6.25</v>
      </c>
      <c r="H14" s="36">
        <f t="shared" si="1"/>
        <v>27450</v>
      </c>
      <c r="I14" s="37">
        <f>H14*'Analyzier - Inputs'!$D$4</f>
        <v>1098</v>
      </c>
      <c r="J14" s="36">
        <f t="shared" si="2"/>
        <v>28548</v>
      </c>
      <c r="K14" s="84">
        <f t="shared" si="11"/>
        <v>2.4824347826086959E-4</v>
      </c>
      <c r="L14" s="60">
        <f>'Analyzier - Inputs'!$E$8*K14*'Analyzier - Inputs'!$E$4*'Analyzier - Inputs'!$B$4*'Analyzier - Inputs'!$H$8</f>
        <v>55832.440695652178</v>
      </c>
      <c r="M14" s="61">
        <f>('Analyzier - Inputs'!$F$8/1000)*'Analyzier - Inputs'!$C$22*24*(365/12)*'Analyzier - Inputs'!$B$4*'Analyzier - Inputs'!$H$8</f>
        <v>18972.408000000003</v>
      </c>
      <c r="N14" s="61">
        <f>(L14-M14)*'Analyzier - Inputs'!$F$4*(1-'Analyzier - Inputs'!$I$4)</f>
        <v>33911.230080000001</v>
      </c>
      <c r="O14" s="43">
        <f t="shared" si="12"/>
        <v>-202645.2390399999</v>
      </c>
      <c r="P14">
        <f t="shared" si="3"/>
        <v>1</v>
      </c>
      <c r="Q14" s="60">
        <f>'Analyzier - Inputs'!$E$9*K14*'Analyzier - Inputs'!$E$4*'Analyzier - Inputs'!$B$4*'Analyzier - Inputs'!$H$9</f>
        <v>44576.584904347823</v>
      </c>
      <c r="R14" s="61">
        <f>('Analyzier - Inputs'!$F$9/1000)*'Analyzier - Inputs'!$C$22*24*(365/12)*'Analyzier - Inputs'!$B$4*'Analyzier - Inputs'!$H$9</f>
        <v>18934.448</v>
      </c>
      <c r="S14" s="61">
        <f>(Q14-R14)*'Analyzier - Inputs'!$F$4*(1-'Analyzier - Inputs'!$I$4)</f>
        <v>23590.765951999998</v>
      </c>
      <c r="T14" s="61">
        <f t="shared" si="13"/>
        <v>-142650.80857600016</v>
      </c>
      <c r="U14">
        <f t="shared" si="4"/>
        <v>1</v>
      </c>
      <c r="V14" s="60">
        <f>'Analyzier - Inputs'!$E$10*K14*'Analyzier - Inputs'!$E$4*'Analyzier - Inputs'!$B$4*'Analyzier - Inputs'!$H$10</f>
        <v>31904.251826086962</v>
      </c>
      <c r="W14" s="61">
        <f>('Analyzier - Inputs'!$F$10/1000)*'Analyzier - Inputs'!$C$22*24*(365/12)*'Analyzier - Inputs'!$B$4*'Analyzier - Inputs'!$H$10</f>
        <v>18972.408000000003</v>
      </c>
      <c r="X14" s="61">
        <f>(V14-W14)*'Analyzier - Inputs'!$F$4*(1-'Analyzier - Inputs'!$I$4)</f>
        <v>11897.296320000003</v>
      </c>
      <c r="Y14" s="61">
        <f t="shared" si="14"/>
        <v>-45412.44415999997</v>
      </c>
      <c r="Z14">
        <f t="shared" si="5"/>
        <v>1</v>
      </c>
      <c r="AA14" s="60">
        <f>'Analyzier - Inputs'!$E$11*K14*'Analyzier - Inputs'!$E$4*'Analyzier - Inputs'!$B$4*'Analyzier - Inputs'!$H$11</f>
        <v>64311.196695652179</v>
      </c>
      <c r="AB14" s="61">
        <f>('Analyzier - Inputs'!$F$11/1000)*'Analyzier - Inputs'!$C$22*24*(365/12)*'Analyzier - Inputs'!$B$4*'Analyzier - Inputs'!$H$11</f>
        <v>18978.102000000003</v>
      </c>
      <c r="AC14" s="61">
        <f>(AA14-AB14)*'Analyzier - Inputs'!$F$4*(1-'Analyzier - Inputs'!$I$4)</f>
        <v>41706.447120000004</v>
      </c>
      <c r="AD14" s="61">
        <f t="shared" si="15"/>
        <v>-249502.63455999971</v>
      </c>
      <c r="AE14">
        <f t="shared" si="6"/>
        <v>1</v>
      </c>
      <c r="AF14" s="60">
        <f>'Analyzier - Inputs'!$E$12*K14*'Analyzier - Inputs'!$E$4*'Analyzier - Inputs'!$B$4*'Analyzier - Inputs'!$H$12</f>
        <v>46761.624000000011</v>
      </c>
      <c r="AG14" s="61">
        <f>('Analyzier - Inputs'!$F$12/1000)*'Analyzier - Inputs'!$C$22*24*(365/12)*'Analyzier - Inputs'!$B$4*'Analyzier - Inputs'!$H$12</f>
        <v>18945.836000000003</v>
      </c>
      <c r="AH14" s="61">
        <f>(AF14-AG14)*'Analyzier - Inputs'!$F$4*(1-'Analyzier - Inputs'!$I$4)</f>
        <v>25590.52496000001</v>
      </c>
      <c r="AI14" s="61">
        <f t="shared" si="16"/>
        <v>-78213.700479999883</v>
      </c>
      <c r="AJ14">
        <f t="shared" si="7"/>
        <v>1</v>
      </c>
      <c r="AK14" s="60">
        <f>'Analyzier - Inputs'!$E$13*K14*'Analyzier - Inputs'!$E$4*'Analyzier - Inputs'!$B$4*'Analyzier - Inputs'!$H$13*'Analyzier - Inputs'!$G$4*'Analyzier - Inputs'!$H$4</f>
        <v>52977.144208695667</v>
      </c>
      <c r="AL14" s="61">
        <f>('Analyzier - Inputs'!$F$12/1000)*'Analyzier - Inputs'!$C$22*24*(365/12)*'Analyzier - Inputs'!$B$4*'Analyzier - Inputs'!$H$12</f>
        <v>18945.836000000003</v>
      </c>
      <c r="AM14" s="61">
        <f>(AK14-AL14)*'Analyzier - Inputs'!$F$4</f>
        <v>34031.308208695664</v>
      </c>
      <c r="AN14" s="61">
        <f t="shared" si="17"/>
        <v>-214010.29847234767</v>
      </c>
      <c r="AO14">
        <f t="shared" si="8"/>
        <v>1</v>
      </c>
      <c r="AP14" s="60">
        <f>'Analyzier - Inputs'!$E$14*K14*'Analyzier - Inputs'!$E$4*'Analyzier - Inputs'!$B$4*'Analyzier - Inputs'!$H$14*'Analyzier - Inputs'!$G$4*'Analyzier - Inputs'!$H$4</f>
        <v>65685.224347826093</v>
      </c>
      <c r="AQ14" s="61">
        <f>('Analyzier - Inputs'!$F$12/1000)*'Analyzier - Inputs'!$C$22*24*(365/12)*'Analyzier - Inputs'!$B$4*'Analyzier - Inputs'!$H$12</f>
        <v>18945.836000000003</v>
      </c>
      <c r="AR14" s="61">
        <f>(AP14-AQ14)*'Analyzier - Inputs'!$F$4</f>
        <v>46739.38834782609</v>
      </c>
      <c r="AS14" s="61">
        <f t="shared" si="18"/>
        <v>-314529.98321391304</v>
      </c>
      <c r="AT14">
        <f t="shared" si="9"/>
        <v>1</v>
      </c>
    </row>
    <row r="15" spans="1:46" x14ac:dyDescent="0.2">
      <c r="A15" s="31" t="s">
        <v>52</v>
      </c>
      <c r="B15" s="30">
        <v>44378</v>
      </c>
      <c r="C15" s="31">
        <f t="shared" si="0"/>
        <v>2</v>
      </c>
      <c r="D15" s="31">
        <v>13</v>
      </c>
      <c r="E15" s="29">
        <f t="shared" si="10"/>
        <v>115000</v>
      </c>
      <c r="F15" s="36">
        <f t="shared" si="10"/>
        <v>9000</v>
      </c>
      <c r="G15" s="36">
        <v>6.25</v>
      </c>
      <c r="H15" s="36">
        <f t="shared" si="1"/>
        <v>27450</v>
      </c>
      <c r="I15" s="37">
        <f>H15*'Analyzier - Inputs'!$D$4</f>
        <v>1098</v>
      </c>
      <c r="J15" s="36">
        <f t="shared" si="2"/>
        <v>28548</v>
      </c>
      <c r="K15" s="84">
        <f t="shared" si="11"/>
        <v>2.4824347826086959E-4</v>
      </c>
      <c r="L15" s="60">
        <f>'Analyzier - Inputs'!$E$8*K15*'Analyzier - Inputs'!$E$4*'Analyzier - Inputs'!$B$4*'Analyzier - Inputs'!$H$8</f>
        <v>55832.440695652178</v>
      </c>
      <c r="M15" s="61">
        <f>('Analyzier - Inputs'!$F$8/1000)*'Analyzier - Inputs'!$C$22*24*(365/12)*'Analyzier - Inputs'!$B$4*'Analyzier - Inputs'!$H$8</f>
        <v>18972.408000000003</v>
      </c>
      <c r="N15" s="61">
        <f>(L15-M15)*'Analyzier - Inputs'!$F$4*(1-'Analyzier - Inputs'!$I$4)</f>
        <v>33911.230080000001</v>
      </c>
      <c r="O15" s="43">
        <f t="shared" si="12"/>
        <v>-168734.00895999989</v>
      </c>
      <c r="P15">
        <f t="shared" si="3"/>
        <v>1</v>
      </c>
      <c r="Q15" s="60">
        <f>'Analyzier - Inputs'!$E$9*K15*'Analyzier - Inputs'!$E$4*'Analyzier - Inputs'!$B$4*'Analyzier - Inputs'!$H$9</f>
        <v>44576.584904347823</v>
      </c>
      <c r="R15" s="61">
        <f>('Analyzier - Inputs'!$F$9/1000)*'Analyzier - Inputs'!$C$22*24*(365/12)*'Analyzier - Inputs'!$B$4*'Analyzier - Inputs'!$H$9</f>
        <v>18934.448</v>
      </c>
      <c r="S15" s="61">
        <f>(Q15-R15)*'Analyzier - Inputs'!$F$4*(1-'Analyzier - Inputs'!$I$4)</f>
        <v>23590.765951999998</v>
      </c>
      <c r="T15" s="61">
        <f t="shared" si="13"/>
        <v>-119060.04262400015</v>
      </c>
      <c r="U15">
        <f t="shared" si="4"/>
        <v>1</v>
      </c>
      <c r="V15" s="60">
        <f>'Analyzier - Inputs'!$E$10*K15*'Analyzier - Inputs'!$E$4*'Analyzier - Inputs'!$B$4*'Analyzier - Inputs'!$H$10</f>
        <v>31904.251826086962</v>
      </c>
      <c r="W15" s="61">
        <f>('Analyzier - Inputs'!$F$10/1000)*'Analyzier - Inputs'!$C$22*24*(365/12)*'Analyzier - Inputs'!$B$4*'Analyzier - Inputs'!$H$10</f>
        <v>18972.408000000003</v>
      </c>
      <c r="X15" s="61">
        <f>(V15-W15)*'Analyzier - Inputs'!$F$4*(1-'Analyzier - Inputs'!$I$4)</f>
        <v>11897.296320000003</v>
      </c>
      <c r="Y15" s="61">
        <f t="shared" si="14"/>
        <v>-33515.147839999969</v>
      </c>
      <c r="Z15">
        <f t="shared" si="5"/>
        <v>1</v>
      </c>
      <c r="AA15" s="60">
        <f>'Analyzier - Inputs'!$E$11*K15*'Analyzier - Inputs'!$E$4*'Analyzier - Inputs'!$B$4*'Analyzier - Inputs'!$H$11</f>
        <v>64311.196695652179</v>
      </c>
      <c r="AB15" s="61">
        <f>('Analyzier - Inputs'!$F$11/1000)*'Analyzier - Inputs'!$C$22*24*(365/12)*'Analyzier - Inputs'!$B$4*'Analyzier - Inputs'!$H$11</f>
        <v>18978.102000000003</v>
      </c>
      <c r="AC15" s="61">
        <f>(AA15-AB15)*'Analyzier - Inputs'!$F$4*(1-'Analyzier - Inputs'!$I$4)</f>
        <v>41706.447120000004</v>
      </c>
      <c r="AD15" s="61">
        <f t="shared" si="15"/>
        <v>-207796.18743999972</v>
      </c>
      <c r="AE15">
        <f t="shared" si="6"/>
        <v>1</v>
      </c>
      <c r="AF15" s="60">
        <f>'Analyzier - Inputs'!$E$12*K15*'Analyzier - Inputs'!$E$4*'Analyzier - Inputs'!$B$4*'Analyzier - Inputs'!$H$12</f>
        <v>46761.624000000011</v>
      </c>
      <c r="AG15" s="61">
        <f>('Analyzier - Inputs'!$F$12/1000)*'Analyzier - Inputs'!$C$22*24*(365/12)*'Analyzier - Inputs'!$B$4*'Analyzier - Inputs'!$H$12</f>
        <v>18945.836000000003</v>
      </c>
      <c r="AH15" s="61">
        <f>(AF15-AG15)*'Analyzier - Inputs'!$F$4*(1-'Analyzier - Inputs'!$I$4)</f>
        <v>25590.52496000001</v>
      </c>
      <c r="AI15" s="61">
        <f t="shared" si="16"/>
        <v>-52623.175519999873</v>
      </c>
      <c r="AJ15">
        <f t="shared" si="7"/>
        <v>1</v>
      </c>
      <c r="AK15" s="60">
        <f>'Analyzier - Inputs'!$E$13*K15*'Analyzier - Inputs'!$E$4*'Analyzier - Inputs'!$B$4*'Analyzier - Inputs'!$H$13*'Analyzier - Inputs'!$G$4*'Analyzier - Inputs'!$H$4</f>
        <v>52977.144208695667</v>
      </c>
      <c r="AL15" s="61">
        <f>('Analyzier - Inputs'!$F$12/1000)*'Analyzier - Inputs'!$C$22*24*(365/12)*'Analyzier - Inputs'!$B$4*'Analyzier - Inputs'!$H$12</f>
        <v>18945.836000000003</v>
      </c>
      <c r="AM15" s="61">
        <f>(AK15-AL15)*'Analyzier - Inputs'!$F$4</f>
        <v>34031.308208695664</v>
      </c>
      <c r="AN15" s="61">
        <f t="shared" si="17"/>
        <v>-179978.990263652</v>
      </c>
      <c r="AO15">
        <f t="shared" si="8"/>
        <v>1</v>
      </c>
      <c r="AP15" s="60">
        <f>'Analyzier - Inputs'!$E$14*K15*'Analyzier - Inputs'!$E$4*'Analyzier - Inputs'!$B$4*'Analyzier - Inputs'!$H$14*'Analyzier - Inputs'!$G$4*'Analyzier - Inputs'!$H$4</f>
        <v>65685.224347826093</v>
      </c>
      <c r="AQ15" s="61">
        <f>('Analyzier - Inputs'!$F$12/1000)*'Analyzier - Inputs'!$C$22*24*(365/12)*'Analyzier - Inputs'!$B$4*'Analyzier - Inputs'!$H$12</f>
        <v>18945.836000000003</v>
      </c>
      <c r="AR15" s="61">
        <f>(AP15-AQ15)*'Analyzier - Inputs'!$F$4</f>
        <v>46739.38834782609</v>
      </c>
      <c r="AS15" s="61">
        <f t="shared" si="18"/>
        <v>-267790.59486608696</v>
      </c>
      <c r="AT15">
        <f t="shared" si="9"/>
        <v>1</v>
      </c>
    </row>
    <row r="16" spans="1:46" x14ac:dyDescent="0.2">
      <c r="A16" s="31" t="s">
        <v>53</v>
      </c>
      <c r="B16" s="30">
        <v>44409</v>
      </c>
      <c r="C16" s="31">
        <f t="shared" si="0"/>
        <v>2</v>
      </c>
      <c r="D16" s="31">
        <v>14</v>
      </c>
      <c r="E16" s="29">
        <f t="shared" si="10"/>
        <v>115000</v>
      </c>
      <c r="F16" s="36">
        <f t="shared" si="10"/>
        <v>9000</v>
      </c>
      <c r="G16" s="36">
        <v>6.25</v>
      </c>
      <c r="H16" s="36">
        <f t="shared" si="1"/>
        <v>27450</v>
      </c>
      <c r="I16" s="37">
        <f>H16*'Analyzier - Inputs'!$D$4</f>
        <v>1098</v>
      </c>
      <c r="J16" s="36">
        <f t="shared" si="2"/>
        <v>28548</v>
      </c>
      <c r="K16" s="84">
        <f t="shared" si="11"/>
        <v>2.4824347826086959E-4</v>
      </c>
      <c r="L16" s="60">
        <f>'Analyzier - Inputs'!$E$8*K16*'Analyzier - Inputs'!$E$4*'Analyzier - Inputs'!$B$4*'Analyzier - Inputs'!$H$8</f>
        <v>55832.440695652178</v>
      </c>
      <c r="M16" s="61">
        <f>('Analyzier - Inputs'!$F$8/1000)*'Analyzier - Inputs'!$C$22*24*(365/12)*'Analyzier - Inputs'!$B$4*'Analyzier - Inputs'!$H$8</f>
        <v>18972.408000000003</v>
      </c>
      <c r="N16" s="61">
        <f>(L16-M16)*'Analyzier - Inputs'!$F$4*(1-'Analyzier - Inputs'!$I$4)</f>
        <v>33911.230080000001</v>
      </c>
      <c r="O16" s="43">
        <f t="shared" si="12"/>
        <v>-134822.77887999988</v>
      </c>
      <c r="P16">
        <f t="shared" si="3"/>
        <v>1</v>
      </c>
      <c r="Q16" s="60">
        <f>'Analyzier - Inputs'!$E$9*K16*'Analyzier - Inputs'!$E$4*'Analyzier - Inputs'!$B$4*'Analyzier - Inputs'!$H$9</f>
        <v>44576.584904347823</v>
      </c>
      <c r="R16" s="61">
        <f>('Analyzier - Inputs'!$F$9/1000)*'Analyzier - Inputs'!$C$22*24*(365/12)*'Analyzier - Inputs'!$B$4*'Analyzier - Inputs'!$H$9</f>
        <v>18934.448</v>
      </c>
      <c r="S16" s="61">
        <f>(Q16-R16)*'Analyzier - Inputs'!$F$4*(1-'Analyzier - Inputs'!$I$4)</f>
        <v>23590.765951999998</v>
      </c>
      <c r="T16" s="61">
        <f t="shared" si="13"/>
        <v>-95469.276672000153</v>
      </c>
      <c r="U16">
        <f t="shared" si="4"/>
        <v>1</v>
      </c>
      <c r="V16" s="60">
        <f>'Analyzier - Inputs'!$E$10*K16*'Analyzier - Inputs'!$E$4*'Analyzier - Inputs'!$B$4*'Analyzier - Inputs'!$H$10</f>
        <v>31904.251826086962</v>
      </c>
      <c r="W16" s="61">
        <f>('Analyzier - Inputs'!$F$10/1000)*'Analyzier - Inputs'!$C$22*24*(365/12)*'Analyzier - Inputs'!$B$4*'Analyzier - Inputs'!$H$10</f>
        <v>18972.408000000003</v>
      </c>
      <c r="X16" s="61">
        <f>(V16-W16)*'Analyzier - Inputs'!$F$4*(1-'Analyzier - Inputs'!$I$4)</f>
        <v>11897.296320000003</v>
      </c>
      <c r="Y16" s="61">
        <f t="shared" si="14"/>
        <v>-21617.851519999967</v>
      </c>
      <c r="Z16">
        <f t="shared" si="5"/>
        <v>1</v>
      </c>
      <c r="AA16" s="60">
        <f>'Analyzier - Inputs'!$E$11*K16*'Analyzier - Inputs'!$E$4*'Analyzier - Inputs'!$B$4*'Analyzier - Inputs'!$H$11</f>
        <v>64311.196695652179</v>
      </c>
      <c r="AB16" s="61">
        <f>('Analyzier - Inputs'!$F$11/1000)*'Analyzier - Inputs'!$C$22*24*(365/12)*'Analyzier - Inputs'!$B$4*'Analyzier - Inputs'!$H$11</f>
        <v>18978.102000000003</v>
      </c>
      <c r="AC16" s="61">
        <f>(AA16-AB16)*'Analyzier - Inputs'!$F$4*(1-'Analyzier - Inputs'!$I$4)</f>
        <v>41706.447120000004</v>
      </c>
      <c r="AD16" s="61">
        <f t="shared" si="15"/>
        <v>-166089.74031999972</v>
      </c>
      <c r="AE16">
        <f t="shared" si="6"/>
        <v>1</v>
      </c>
      <c r="AF16" s="60">
        <f>'Analyzier - Inputs'!$E$12*K16*'Analyzier - Inputs'!$E$4*'Analyzier - Inputs'!$B$4*'Analyzier - Inputs'!$H$12</f>
        <v>46761.624000000011</v>
      </c>
      <c r="AG16" s="61">
        <f>('Analyzier - Inputs'!$F$12/1000)*'Analyzier - Inputs'!$C$22*24*(365/12)*'Analyzier - Inputs'!$B$4*'Analyzier - Inputs'!$H$12</f>
        <v>18945.836000000003</v>
      </c>
      <c r="AH16" s="61">
        <f>(AF16-AG16)*'Analyzier - Inputs'!$F$4*(1-'Analyzier - Inputs'!$I$4)</f>
        <v>25590.52496000001</v>
      </c>
      <c r="AI16" s="61">
        <f t="shared" si="16"/>
        <v>-27032.650559999864</v>
      </c>
      <c r="AJ16">
        <f t="shared" si="7"/>
        <v>1</v>
      </c>
      <c r="AK16" s="60">
        <f>'Analyzier - Inputs'!$E$13*K16*'Analyzier - Inputs'!$E$4*'Analyzier - Inputs'!$B$4*'Analyzier - Inputs'!$H$13*'Analyzier - Inputs'!$G$4*'Analyzier - Inputs'!$H$4</f>
        <v>52977.144208695667</v>
      </c>
      <c r="AL16" s="61">
        <f>('Analyzier - Inputs'!$F$12/1000)*'Analyzier - Inputs'!$C$22*24*(365/12)*'Analyzier - Inputs'!$B$4*'Analyzier - Inputs'!$H$12</f>
        <v>18945.836000000003</v>
      </c>
      <c r="AM16" s="61">
        <f>(AK16-AL16)*'Analyzier - Inputs'!$F$4</f>
        <v>34031.308208695664</v>
      </c>
      <c r="AN16" s="61">
        <f t="shared" si="17"/>
        <v>-145947.68205495633</v>
      </c>
      <c r="AO16">
        <f t="shared" si="8"/>
        <v>1</v>
      </c>
      <c r="AP16" s="60">
        <f>'Analyzier - Inputs'!$E$14*K16*'Analyzier - Inputs'!$E$4*'Analyzier - Inputs'!$B$4*'Analyzier - Inputs'!$H$14*'Analyzier - Inputs'!$G$4*'Analyzier - Inputs'!$H$4</f>
        <v>65685.224347826093</v>
      </c>
      <c r="AQ16" s="61">
        <f>('Analyzier - Inputs'!$F$12/1000)*'Analyzier - Inputs'!$C$22*24*(365/12)*'Analyzier - Inputs'!$B$4*'Analyzier - Inputs'!$H$12</f>
        <v>18945.836000000003</v>
      </c>
      <c r="AR16" s="61">
        <f>(AP16-AQ16)*'Analyzier - Inputs'!$F$4</f>
        <v>46739.38834782609</v>
      </c>
      <c r="AS16" s="61">
        <f t="shared" si="18"/>
        <v>-221051.20651826088</v>
      </c>
      <c r="AT16">
        <f t="shared" si="9"/>
        <v>1</v>
      </c>
    </row>
    <row r="17" spans="1:46" x14ac:dyDescent="0.2">
      <c r="A17" s="31" t="s">
        <v>54</v>
      </c>
      <c r="B17" s="30">
        <v>44440</v>
      </c>
      <c r="C17" s="31">
        <f t="shared" si="0"/>
        <v>2</v>
      </c>
      <c r="D17" s="31">
        <v>15</v>
      </c>
      <c r="E17" s="29">
        <f t="shared" si="10"/>
        <v>115000</v>
      </c>
      <c r="F17" s="36">
        <f t="shared" si="10"/>
        <v>9000</v>
      </c>
      <c r="G17" s="36">
        <v>6.25</v>
      </c>
      <c r="H17" s="36">
        <f t="shared" si="1"/>
        <v>27450</v>
      </c>
      <c r="I17" s="37">
        <f>H17*'Analyzier - Inputs'!$D$4</f>
        <v>1098</v>
      </c>
      <c r="J17" s="36">
        <f t="shared" si="2"/>
        <v>28548</v>
      </c>
      <c r="K17" s="84">
        <f t="shared" si="11"/>
        <v>2.4824347826086959E-4</v>
      </c>
      <c r="L17" s="60">
        <f>'Analyzier - Inputs'!$E$8*K17*'Analyzier - Inputs'!$E$4*'Analyzier - Inputs'!$B$4*'Analyzier - Inputs'!$H$8</f>
        <v>55832.440695652178</v>
      </c>
      <c r="M17" s="61">
        <f>('Analyzier - Inputs'!$F$8/1000)*'Analyzier - Inputs'!$C$22*24*(365/12)*'Analyzier - Inputs'!$B$4*'Analyzier - Inputs'!$H$8</f>
        <v>18972.408000000003</v>
      </c>
      <c r="N17" s="61">
        <f>(L17-M17)*'Analyzier - Inputs'!$F$4*(1-'Analyzier - Inputs'!$I$4)</f>
        <v>33911.230080000001</v>
      </c>
      <c r="O17" s="43">
        <f t="shared" si="12"/>
        <v>-100911.54879999987</v>
      </c>
      <c r="P17">
        <f t="shared" si="3"/>
        <v>1</v>
      </c>
      <c r="Q17" s="60">
        <f>'Analyzier - Inputs'!$E$9*K17*'Analyzier - Inputs'!$E$4*'Analyzier - Inputs'!$B$4*'Analyzier - Inputs'!$H$9</f>
        <v>44576.584904347823</v>
      </c>
      <c r="R17" s="61">
        <f>('Analyzier - Inputs'!$F$9/1000)*'Analyzier - Inputs'!$C$22*24*(365/12)*'Analyzier - Inputs'!$B$4*'Analyzier - Inputs'!$H$9</f>
        <v>18934.448</v>
      </c>
      <c r="S17" s="61">
        <f>(Q17-R17)*'Analyzier - Inputs'!$F$4*(1-'Analyzier - Inputs'!$I$4)</f>
        <v>23590.765951999998</v>
      </c>
      <c r="T17" s="61">
        <f t="shared" si="13"/>
        <v>-71878.510720000151</v>
      </c>
      <c r="U17">
        <f t="shared" si="4"/>
        <v>1</v>
      </c>
      <c r="V17" s="60">
        <f>'Analyzier - Inputs'!$E$10*K17*'Analyzier - Inputs'!$E$4*'Analyzier - Inputs'!$B$4*'Analyzier - Inputs'!$H$10</f>
        <v>31904.251826086962</v>
      </c>
      <c r="W17" s="61">
        <f>('Analyzier - Inputs'!$F$10/1000)*'Analyzier - Inputs'!$C$22*24*(365/12)*'Analyzier - Inputs'!$B$4*'Analyzier - Inputs'!$H$10</f>
        <v>18972.408000000003</v>
      </c>
      <c r="X17" s="61">
        <f>(V17-W17)*'Analyzier - Inputs'!$F$4*(1-'Analyzier - Inputs'!$I$4)</f>
        <v>11897.296320000003</v>
      </c>
      <c r="Y17" s="61">
        <f t="shared" si="14"/>
        <v>-9720.5551999999643</v>
      </c>
      <c r="Z17">
        <f t="shared" si="5"/>
        <v>1</v>
      </c>
      <c r="AA17" s="60">
        <f>'Analyzier - Inputs'!$E$11*K17*'Analyzier - Inputs'!$E$4*'Analyzier - Inputs'!$B$4*'Analyzier - Inputs'!$H$11</f>
        <v>64311.196695652179</v>
      </c>
      <c r="AB17" s="61">
        <f>('Analyzier - Inputs'!$F$11/1000)*'Analyzier - Inputs'!$C$22*24*(365/12)*'Analyzier - Inputs'!$B$4*'Analyzier - Inputs'!$H$11</f>
        <v>18978.102000000003</v>
      </c>
      <c r="AC17" s="61">
        <f>(AA17-AB17)*'Analyzier - Inputs'!$F$4*(1-'Analyzier - Inputs'!$I$4)</f>
        <v>41706.447120000004</v>
      </c>
      <c r="AD17" s="61">
        <f t="shared" si="15"/>
        <v>-124383.29319999972</v>
      </c>
      <c r="AE17">
        <f t="shared" si="6"/>
        <v>1</v>
      </c>
      <c r="AF17" s="60">
        <f>'Analyzier - Inputs'!$E$12*K17*'Analyzier - Inputs'!$E$4*'Analyzier - Inputs'!$B$4*'Analyzier - Inputs'!$H$12</f>
        <v>46761.624000000011</v>
      </c>
      <c r="AG17" s="61">
        <f>('Analyzier - Inputs'!$F$12/1000)*'Analyzier - Inputs'!$C$22*24*(365/12)*'Analyzier - Inputs'!$B$4*'Analyzier - Inputs'!$H$12</f>
        <v>18945.836000000003</v>
      </c>
      <c r="AH17" s="61">
        <f>(AF17-AG17)*'Analyzier - Inputs'!$F$4*(1-'Analyzier - Inputs'!$I$4)</f>
        <v>25590.52496000001</v>
      </c>
      <c r="AI17" s="61">
        <f t="shared" si="16"/>
        <v>-1442.1255999998539</v>
      </c>
      <c r="AJ17">
        <f t="shared" si="7"/>
        <v>1</v>
      </c>
      <c r="AK17" s="60">
        <f>'Analyzier - Inputs'!$E$13*K17*'Analyzier - Inputs'!$E$4*'Analyzier - Inputs'!$B$4*'Analyzier - Inputs'!$H$13*'Analyzier - Inputs'!$G$4*'Analyzier - Inputs'!$H$4</f>
        <v>52977.144208695667</v>
      </c>
      <c r="AL17" s="61">
        <f>('Analyzier - Inputs'!$F$12/1000)*'Analyzier - Inputs'!$C$22*24*(365/12)*'Analyzier - Inputs'!$B$4*'Analyzier - Inputs'!$H$12</f>
        <v>18945.836000000003</v>
      </c>
      <c r="AM17" s="61">
        <f>(AK17-AL17)*'Analyzier - Inputs'!$F$4</f>
        <v>34031.308208695664</v>
      </c>
      <c r="AN17" s="61">
        <f t="shared" si="17"/>
        <v>-111916.37384626066</v>
      </c>
      <c r="AO17">
        <f t="shared" si="8"/>
        <v>1</v>
      </c>
      <c r="AP17" s="60">
        <f>'Analyzier - Inputs'!$E$14*K17*'Analyzier - Inputs'!$E$4*'Analyzier - Inputs'!$B$4*'Analyzier - Inputs'!$H$14*'Analyzier - Inputs'!$G$4*'Analyzier - Inputs'!$H$4</f>
        <v>65685.224347826093</v>
      </c>
      <c r="AQ17" s="61">
        <f>('Analyzier - Inputs'!$F$12/1000)*'Analyzier - Inputs'!$C$22*24*(365/12)*'Analyzier - Inputs'!$B$4*'Analyzier - Inputs'!$H$12</f>
        <v>18945.836000000003</v>
      </c>
      <c r="AR17" s="61">
        <f>(AP17-AQ17)*'Analyzier - Inputs'!$F$4</f>
        <v>46739.38834782609</v>
      </c>
      <c r="AS17" s="61">
        <f t="shared" si="18"/>
        <v>-174311.8181704348</v>
      </c>
      <c r="AT17">
        <f t="shared" si="9"/>
        <v>1</v>
      </c>
    </row>
    <row r="18" spans="1:46" x14ac:dyDescent="0.2">
      <c r="A18" s="31" t="s">
        <v>55</v>
      </c>
      <c r="B18" s="30">
        <v>44470</v>
      </c>
      <c r="C18" s="31">
        <f t="shared" si="0"/>
        <v>2</v>
      </c>
      <c r="D18" s="31">
        <v>16</v>
      </c>
      <c r="E18" s="29">
        <f t="shared" si="10"/>
        <v>115000</v>
      </c>
      <c r="F18" s="36">
        <f t="shared" si="10"/>
        <v>9000</v>
      </c>
      <c r="G18" s="36">
        <v>6.25</v>
      </c>
      <c r="H18" s="36">
        <f t="shared" si="1"/>
        <v>27450</v>
      </c>
      <c r="I18" s="37">
        <f>H18*'Analyzier - Inputs'!$D$4</f>
        <v>1098</v>
      </c>
      <c r="J18" s="36">
        <f t="shared" si="2"/>
        <v>28548</v>
      </c>
      <c r="K18" s="84">
        <f t="shared" si="11"/>
        <v>2.4824347826086959E-4</v>
      </c>
      <c r="L18" s="60">
        <f>'Analyzier - Inputs'!$E$8*K18*'Analyzier - Inputs'!$E$4*'Analyzier - Inputs'!$B$4*'Analyzier - Inputs'!$H$8</f>
        <v>55832.440695652178</v>
      </c>
      <c r="M18" s="61">
        <f>('Analyzier - Inputs'!$F$8/1000)*'Analyzier - Inputs'!$C$22*24*(365/12)*'Analyzier - Inputs'!$B$4*'Analyzier - Inputs'!$H$8</f>
        <v>18972.408000000003</v>
      </c>
      <c r="N18" s="61">
        <f>(L18-M18)*'Analyzier - Inputs'!$F$4*(1-'Analyzier - Inputs'!$I$4)</f>
        <v>33911.230080000001</v>
      </c>
      <c r="O18" s="43">
        <f t="shared" si="12"/>
        <v>-67000.318719999865</v>
      </c>
      <c r="P18">
        <f t="shared" si="3"/>
        <v>1</v>
      </c>
      <c r="Q18" s="60">
        <f>'Analyzier - Inputs'!$E$9*K18*'Analyzier - Inputs'!$E$4*'Analyzier - Inputs'!$B$4*'Analyzier - Inputs'!$H$9</f>
        <v>44576.584904347823</v>
      </c>
      <c r="R18" s="61">
        <f>('Analyzier - Inputs'!$F$9/1000)*'Analyzier - Inputs'!$C$22*24*(365/12)*'Analyzier - Inputs'!$B$4*'Analyzier - Inputs'!$H$9</f>
        <v>18934.448</v>
      </c>
      <c r="S18" s="61">
        <f>(Q18-R18)*'Analyzier - Inputs'!$F$4*(1-'Analyzier - Inputs'!$I$4)</f>
        <v>23590.765951999998</v>
      </c>
      <c r="T18" s="61">
        <f t="shared" si="13"/>
        <v>-48287.74476800015</v>
      </c>
      <c r="U18">
        <f t="shared" si="4"/>
        <v>1</v>
      </c>
      <c r="V18" s="60">
        <f>'Analyzier - Inputs'!$E$10*K18*'Analyzier - Inputs'!$E$4*'Analyzier - Inputs'!$B$4*'Analyzier - Inputs'!$H$10</f>
        <v>31904.251826086962</v>
      </c>
      <c r="W18" s="61">
        <f>('Analyzier - Inputs'!$F$10/1000)*'Analyzier - Inputs'!$C$22*24*(365/12)*'Analyzier - Inputs'!$B$4*'Analyzier - Inputs'!$H$10</f>
        <v>18972.408000000003</v>
      </c>
      <c r="X18" s="61">
        <f>(V18-W18)*'Analyzier - Inputs'!$F$4*(1-'Analyzier - Inputs'!$I$4)</f>
        <v>11897.296320000003</v>
      </c>
      <c r="Y18" s="61">
        <f t="shared" si="14"/>
        <v>2176.7411200000388</v>
      </c>
      <c r="Z18">
        <f t="shared" si="5"/>
        <v>0</v>
      </c>
      <c r="AA18" s="60">
        <f>'Analyzier - Inputs'!$E$11*K18*'Analyzier - Inputs'!$E$4*'Analyzier - Inputs'!$B$4*'Analyzier - Inputs'!$H$11</f>
        <v>64311.196695652179</v>
      </c>
      <c r="AB18" s="61">
        <f>('Analyzier - Inputs'!$F$11/1000)*'Analyzier - Inputs'!$C$22*24*(365/12)*'Analyzier - Inputs'!$B$4*'Analyzier - Inputs'!$H$11</f>
        <v>18978.102000000003</v>
      </c>
      <c r="AC18" s="61">
        <f>(AA18-AB18)*'Analyzier - Inputs'!$F$4*(1-'Analyzier - Inputs'!$I$4)</f>
        <v>41706.447120000004</v>
      </c>
      <c r="AD18" s="61">
        <f t="shared" si="15"/>
        <v>-82676.846079999726</v>
      </c>
      <c r="AE18">
        <f t="shared" si="6"/>
        <v>1</v>
      </c>
      <c r="AF18" s="60">
        <f>'Analyzier - Inputs'!$E$12*K18*'Analyzier - Inputs'!$E$4*'Analyzier - Inputs'!$B$4*'Analyzier - Inputs'!$H$12</f>
        <v>46761.624000000011</v>
      </c>
      <c r="AG18" s="61">
        <f>('Analyzier - Inputs'!$F$12/1000)*'Analyzier - Inputs'!$C$22*24*(365/12)*'Analyzier - Inputs'!$B$4*'Analyzier - Inputs'!$H$12</f>
        <v>18945.836000000003</v>
      </c>
      <c r="AH18" s="61">
        <f>(AF18-AG18)*'Analyzier - Inputs'!$F$4*(1-'Analyzier - Inputs'!$I$4)</f>
        <v>25590.52496000001</v>
      </c>
      <c r="AI18" s="61">
        <f t="shared" si="16"/>
        <v>24148.399360000156</v>
      </c>
      <c r="AJ18">
        <f t="shared" si="7"/>
        <v>0</v>
      </c>
      <c r="AK18" s="60">
        <f>'Analyzier - Inputs'!$E$13*K18*'Analyzier - Inputs'!$E$4*'Analyzier - Inputs'!$B$4*'Analyzier - Inputs'!$H$13*'Analyzier - Inputs'!$G$4*'Analyzier - Inputs'!$H$4</f>
        <v>52977.144208695667</v>
      </c>
      <c r="AL18" s="61">
        <f>('Analyzier - Inputs'!$F$12/1000)*'Analyzier - Inputs'!$C$22*24*(365/12)*'Analyzier - Inputs'!$B$4*'Analyzier - Inputs'!$H$12</f>
        <v>18945.836000000003</v>
      </c>
      <c r="AM18" s="61">
        <f>(AK18-AL18)*'Analyzier - Inputs'!$F$4</f>
        <v>34031.308208695664</v>
      </c>
      <c r="AN18" s="61">
        <f t="shared" si="17"/>
        <v>-77885.065637564985</v>
      </c>
      <c r="AO18">
        <f t="shared" si="8"/>
        <v>1</v>
      </c>
      <c r="AP18" s="60">
        <f>'Analyzier - Inputs'!$E$14*K18*'Analyzier - Inputs'!$E$4*'Analyzier - Inputs'!$B$4*'Analyzier - Inputs'!$H$14*'Analyzier - Inputs'!$G$4*'Analyzier - Inputs'!$H$4</f>
        <v>65685.224347826093</v>
      </c>
      <c r="AQ18" s="61">
        <f>('Analyzier - Inputs'!$F$12/1000)*'Analyzier - Inputs'!$C$22*24*(365/12)*'Analyzier - Inputs'!$B$4*'Analyzier - Inputs'!$H$12</f>
        <v>18945.836000000003</v>
      </c>
      <c r="AR18" s="61">
        <f>(AP18-AQ18)*'Analyzier - Inputs'!$F$4</f>
        <v>46739.38834782609</v>
      </c>
      <c r="AS18" s="61">
        <f t="shared" si="18"/>
        <v>-127572.42982260871</v>
      </c>
      <c r="AT18">
        <f t="shared" si="9"/>
        <v>1</v>
      </c>
    </row>
    <row r="19" spans="1:46" x14ac:dyDescent="0.2">
      <c r="A19" s="31" t="s">
        <v>56</v>
      </c>
      <c r="B19" s="30">
        <v>44501</v>
      </c>
      <c r="C19" s="31">
        <f t="shared" si="0"/>
        <v>2</v>
      </c>
      <c r="D19" s="31">
        <v>17</v>
      </c>
      <c r="E19" s="29">
        <f t="shared" si="10"/>
        <v>115000</v>
      </c>
      <c r="F19" s="36">
        <f t="shared" si="10"/>
        <v>9000</v>
      </c>
      <c r="G19" s="36">
        <v>6.25</v>
      </c>
      <c r="H19" s="36">
        <f t="shared" si="1"/>
        <v>27450</v>
      </c>
      <c r="I19" s="37">
        <f>H19*'Analyzier - Inputs'!$D$4</f>
        <v>1098</v>
      </c>
      <c r="J19" s="36">
        <f t="shared" si="2"/>
        <v>28548</v>
      </c>
      <c r="K19" s="84">
        <f t="shared" si="11"/>
        <v>2.4824347826086959E-4</v>
      </c>
      <c r="L19" s="60">
        <f>'Analyzier - Inputs'!$E$8*K19*'Analyzier - Inputs'!$E$4*'Analyzier - Inputs'!$B$4*'Analyzier - Inputs'!$H$8</f>
        <v>55832.440695652178</v>
      </c>
      <c r="M19" s="61">
        <f>('Analyzier - Inputs'!$F$8/1000)*'Analyzier - Inputs'!$C$22*24*(365/12)*'Analyzier - Inputs'!$B$4*'Analyzier - Inputs'!$H$8</f>
        <v>18972.408000000003</v>
      </c>
      <c r="N19" s="61">
        <f>(L19-M19)*'Analyzier - Inputs'!$F$4*(1-'Analyzier - Inputs'!$I$4)</f>
        <v>33911.230080000001</v>
      </c>
      <c r="O19" s="43">
        <f t="shared" si="12"/>
        <v>-33089.088639999864</v>
      </c>
      <c r="P19">
        <f t="shared" si="3"/>
        <v>1</v>
      </c>
      <c r="Q19" s="60">
        <f>'Analyzier - Inputs'!$E$9*K19*'Analyzier - Inputs'!$E$4*'Analyzier - Inputs'!$B$4*'Analyzier - Inputs'!$H$9</f>
        <v>44576.584904347823</v>
      </c>
      <c r="R19" s="61">
        <f>('Analyzier - Inputs'!$F$9/1000)*'Analyzier - Inputs'!$C$22*24*(365/12)*'Analyzier - Inputs'!$B$4*'Analyzier - Inputs'!$H$9</f>
        <v>18934.448</v>
      </c>
      <c r="S19" s="61">
        <f>(Q19-R19)*'Analyzier - Inputs'!$F$4*(1-'Analyzier - Inputs'!$I$4)</f>
        <v>23590.765951999998</v>
      </c>
      <c r="T19" s="61">
        <f t="shared" si="13"/>
        <v>-24696.978816000152</v>
      </c>
      <c r="U19">
        <f t="shared" si="4"/>
        <v>1</v>
      </c>
      <c r="V19" s="60">
        <f>'Analyzier - Inputs'!$E$10*K19*'Analyzier - Inputs'!$E$4*'Analyzier - Inputs'!$B$4*'Analyzier - Inputs'!$H$10</f>
        <v>31904.251826086962</v>
      </c>
      <c r="W19" s="61">
        <f>('Analyzier - Inputs'!$F$10/1000)*'Analyzier - Inputs'!$C$22*24*(365/12)*'Analyzier - Inputs'!$B$4*'Analyzier - Inputs'!$H$10</f>
        <v>18972.408000000003</v>
      </c>
      <c r="X19" s="61">
        <f>(V19-W19)*'Analyzier - Inputs'!$F$4*(1-'Analyzier - Inputs'!$I$4)</f>
        <v>11897.296320000003</v>
      </c>
      <c r="Y19" s="61">
        <f t="shared" si="14"/>
        <v>14074.037440000042</v>
      </c>
      <c r="Z19">
        <f t="shared" si="5"/>
        <v>0</v>
      </c>
      <c r="AA19" s="60">
        <f>'Analyzier - Inputs'!$E$11*K19*'Analyzier - Inputs'!$E$4*'Analyzier - Inputs'!$B$4*'Analyzier - Inputs'!$H$11</f>
        <v>64311.196695652179</v>
      </c>
      <c r="AB19" s="61">
        <f>('Analyzier - Inputs'!$F$11/1000)*'Analyzier - Inputs'!$C$22*24*(365/12)*'Analyzier - Inputs'!$B$4*'Analyzier - Inputs'!$H$11</f>
        <v>18978.102000000003</v>
      </c>
      <c r="AC19" s="61">
        <f>(AA19-AB19)*'Analyzier - Inputs'!$F$4*(1-'Analyzier - Inputs'!$I$4)</f>
        <v>41706.447120000004</v>
      </c>
      <c r="AD19" s="61">
        <f t="shared" si="15"/>
        <v>-40970.398959999722</v>
      </c>
      <c r="AE19">
        <f t="shared" si="6"/>
        <v>1</v>
      </c>
      <c r="AF19" s="60">
        <f>'Analyzier - Inputs'!$E$12*K19*'Analyzier - Inputs'!$E$4*'Analyzier - Inputs'!$B$4*'Analyzier - Inputs'!$H$12</f>
        <v>46761.624000000011</v>
      </c>
      <c r="AG19" s="61">
        <f>('Analyzier - Inputs'!$F$12/1000)*'Analyzier - Inputs'!$C$22*24*(365/12)*'Analyzier - Inputs'!$B$4*'Analyzier - Inputs'!$H$12</f>
        <v>18945.836000000003</v>
      </c>
      <c r="AH19" s="61">
        <f>(AF19-AG19)*'Analyzier - Inputs'!$F$4*(1-'Analyzier - Inputs'!$I$4)</f>
        <v>25590.52496000001</v>
      </c>
      <c r="AI19" s="61">
        <f t="shared" si="16"/>
        <v>49738.924320000166</v>
      </c>
      <c r="AJ19">
        <f t="shared" si="7"/>
        <v>0</v>
      </c>
      <c r="AK19" s="60">
        <f>'Analyzier - Inputs'!$E$13*K19*'Analyzier - Inputs'!$E$4*'Analyzier - Inputs'!$B$4*'Analyzier - Inputs'!$H$13*'Analyzier - Inputs'!$G$4*'Analyzier - Inputs'!$H$4</f>
        <v>52977.144208695667</v>
      </c>
      <c r="AL19" s="61">
        <f>('Analyzier - Inputs'!$F$12/1000)*'Analyzier - Inputs'!$C$22*24*(365/12)*'Analyzier - Inputs'!$B$4*'Analyzier - Inputs'!$H$12</f>
        <v>18945.836000000003</v>
      </c>
      <c r="AM19" s="61">
        <f>(AK19-AL19)*'Analyzier - Inputs'!$F$4</f>
        <v>34031.308208695664</v>
      </c>
      <c r="AN19" s="61">
        <f t="shared" si="17"/>
        <v>-43853.757428869321</v>
      </c>
      <c r="AO19">
        <f t="shared" si="8"/>
        <v>1</v>
      </c>
      <c r="AP19" s="60">
        <f>'Analyzier - Inputs'!$E$14*K19*'Analyzier - Inputs'!$E$4*'Analyzier - Inputs'!$B$4*'Analyzier - Inputs'!$H$14*'Analyzier - Inputs'!$G$4*'Analyzier - Inputs'!$H$4</f>
        <v>65685.224347826093</v>
      </c>
      <c r="AQ19" s="61">
        <f>('Analyzier - Inputs'!$F$12/1000)*'Analyzier - Inputs'!$C$22*24*(365/12)*'Analyzier - Inputs'!$B$4*'Analyzier - Inputs'!$H$12</f>
        <v>18945.836000000003</v>
      </c>
      <c r="AR19" s="61">
        <f>(AP19-AQ19)*'Analyzier - Inputs'!$F$4</f>
        <v>46739.38834782609</v>
      </c>
      <c r="AS19" s="61">
        <f t="shared" si="18"/>
        <v>-80833.041474782629</v>
      </c>
      <c r="AT19">
        <f t="shared" si="9"/>
        <v>1</v>
      </c>
    </row>
    <row r="20" spans="1:46" x14ac:dyDescent="0.2">
      <c r="A20" s="31" t="s">
        <v>57</v>
      </c>
      <c r="B20" s="30">
        <v>44531</v>
      </c>
      <c r="C20" s="31">
        <f t="shared" si="0"/>
        <v>2</v>
      </c>
      <c r="D20" s="31">
        <v>18</v>
      </c>
      <c r="E20" s="29">
        <f t="shared" si="10"/>
        <v>115000</v>
      </c>
      <c r="F20" s="36">
        <f t="shared" si="10"/>
        <v>9000</v>
      </c>
      <c r="G20" s="36">
        <v>6.25</v>
      </c>
      <c r="H20" s="36">
        <f t="shared" si="1"/>
        <v>27450</v>
      </c>
      <c r="I20" s="37">
        <f>H20*'Analyzier - Inputs'!$D$4</f>
        <v>1098</v>
      </c>
      <c r="J20" s="36">
        <f t="shared" si="2"/>
        <v>28548</v>
      </c>
      <c r="K20" s="84">
        <f t="shared" si="11"/>
        <v>2.4824347826086959E-4</v>
      </c>
      <c r="L20" s="60">
        <f>'Analyzier - Inputs'!$E$8*K20*'Analyzier - Inputs'!$E$4*'Analyzier - Inputs'!$B$4*'Analyzier - Inputs'!$H$8</f>
        <v>55832.440695652178</v>
      </c>
      <c r="M20" s="61">
        <f>('Analyzier - Inputs'!$F$8/1000)*'Analyzier - Inputs'!$C$22*24*(365/12)*'Analyzier - Inputs'!$B$4*'Analyzier - Inputs'!$H$8</f>
        <v>18972.408000000003</v>
      </c>
      <c r="N20" s="61">
        <f>(L20-M20)*'Analyzier - Inputs'!$F$4*(1-'Analyzier - Inputs'!$I$4)</f>
        <v>33911.230080000001</v>
      </c>
      <c r="O20" s="43">
        <f t="shared" si="12"/>
        <v>822.14144000013766</v>
      </c>
      <c r="P20">
        <f t="shared" si="3"/>
        <v>0</v>
      </c>
      <c r="Q20" s="60">
        <f>'Analyzier - Inputs'!$E$9*K20*'Analyzier - Inputs'!$E$4*'Analyzier - Inputs'!$B$4*'Analyzier - Inputs'!$H$9</f>
        <v>44576.584904347823</v>
      </c>
      <c r="R20" s="61">
        <f>('Analyzier - Inputs'!$F$9/1000)*'Analyzier - Inputs'!$C$22*24*(365/12)*'Analyzier - Inputs'!$B$4*'Analyzier - Inputs'!$H$9</f>
        <v>18934.448</v>
      </c>
      <c r="S20" s="61">
        <f>(Q20-R20)*'Analyzier - Inputs'!$F$4*(1-'Analyzier - Inputs'!$I$4)</f>
        <v>23590.765951999998</v>
      </c>
      <c r="T20" s="61">
        <f t="shared" si="13"/>
        <v>-1106.2128640001538</v>
      </c>
      <c r="U20">
        <f t="shared" si="4"/>
        <v>1</v>
      </c>
      <c r="V20" s="60">
        <f>'Analyzier - Inputs'!$E$10*K20*'Analyzier - Inputs'!$E$4*'Analyzier - Inputs'!$B$4*'Analyzier - Inputs'!$H$10</f>
        <v>31904.251826086962</v>
      </c>
      <c r="W20" s="61">
        <f>('Analyzier - Inputs'!$F$10/1000)*'Analyzier - Inputs'!$C$22*24*(365/12)*'Analyzier - Inputs'!$B$4*'Analyzier - Inputs'!$H$10</f>
        <v>18972.408000000003</v>
      </c>
      <c r="X20" s="61">
        <f>(V20-W20)*'Analyzier - Inputs'!$F$4*(1-'Analyzier - Inputs'!$I$4)</f>
        <v>11897.296320000003</v>
      </c>
      <c r="Y20" s="61">
        <f t="shared" si="14"/>
        <v>25971.333760000045</v>
      </c>
      <c r="Z20">
        <f t="shared" si="5"/>
        <v>0</v>
      </c>
      <c r="AA20" s="60">
        <f>'Analyzier - Inputs'!$E$11*K20*'Analyzier - Inputs'!$E$4*'Analyzier - Inputs'!$B$4*'Analyzier - Inputs'!$H$11</f>
        <v>64311.196695652179</v>
      </c>
      <c r="AB20" s="61">
        <f>('Analyzier - Inputs'!$F$11/1000)*'Analyzier - Inputs'!$C$22*24*(365/12)*'Analyzier - Inputs'!$B$4*'Analyzier - Inputs'!$H$11</f>
        <v>18978.102000000003</v>
      </c>
      <c r="AC20" s="61">
        <f>(AA20-AB20)*'Analyzier - Inputs'!$F$4*(1-'Analyzier - Inputs'!$I$4)</f>
        <v>41706.447120000004</v>
      </c>
      <c r="AD20" s="61">
        <f t="shared" si="15"/>
        <v>736.04816000028222</v>
      </c>
      <c r="AE20">
        <f t="shared" si="6"/>
        <v>0</v>
      </c>
      <c r="AF20" s="60">
        <f>'Analyzier - Inputs'!$E$12*K20*'Analyzier - Inputs'!$E$4*'Analyzier - Inputs'!$B$4*'Analyzier - Inputs'!$H$12</f>
        <v>46761.624000000011</v>
      </c>
      <c r="AG20" s="61">
        <f>('Analyzier - Inputs'!$F$12/1000)*'Analyzier - Inputs'!$C$22*24*(365/12)*'Analyzier - Inputs'!$B$4*'Analyzier - Inputs'!$H$12</f>
        <v>18945.836000000003</v>
      </c>
      <c r="AH20" s="61">
        <f>(AF20-AG20)*'Analyzier - Inputs'!$F$4*(1-'Analyzier - Inputs'!$I$4)</f>
        <v>25590.52496000001</v>
      </c>
      <c r="AI20" s="61">
        <f t="shared" si="16"/>
        <v>75329.449280000175</v>
      </c>
      <c r="AJ20">
        <f t="shared" si="7"/>
        <v>0</v>
      </c>
      <c r="AK20" s="60">
        <f>'Analyzier - Inputs'!$E$13*K20*'Analyzier - Inputs'!$E$4*'Analyzier - Inputs'!$B$4*'Analyzier - Inputs'!$H$13*'Analyzier - Inputs'!$G$4*'Analyzier - Inputs'!$H$4</f>
        <v>52977.144208695667</v>
      </c>
      <c r="AL20" s="61">
        <f>('Analyzier - Inputs'!$F$12/1000)*'Analyzier - Inputs'!$C$22*24*(365/12)*'Analyzier - Inputs'!$B$4*'Analyzier - Inputs'!$H$12</f>
        <v>18945.836000000003</v>
      </c>
      <c r="AM20" s="61">
        <f>(AK20-AL20)*'Analyzier - Inputs'!$F$4</f>
        <v>34031.308208695664</v>
      </c>
      <c r="AN20" s="61">
        <f t="shared" si="17"/>
        <v>-9822.4492201736575</v>
      </c>
      <c r="AO20">
        <f t="shared" si="8"/>
        <v>1</v>
      </c>
      <c r="AP20" s="60">
        <f>'Analyzier - Inputs'!$E$14*K20*'Analyzier - Inputs'!$E$4*'Analyzier - Inputs'!$B$4*'Analyzier - Inputs'!$H$14*'Analyzier - Inputs'!$G$4*'Analyzier - Inputs'!$H$4</f>
        <v>65685.224347826093</v>
      </c>
      <c r="AQ20" s="61">
        <f>('Analyzier - Inputs'!$F$12/1000)*'Analyzier - Inputs'!$C$22*24*(365/12)*'Analyzier - Inputs'!$B$4*'Analyzier - Inputs'!$H$12</f>
        <v>18945.836000000003</v>
      </c>
      <c r="AR20" s="61">
        <f>(AP20-AQ20)*'Analyzier - Inputs'!$F$4</f>
        <v>46739.38834782609</v>
      </c>
      <c r="AS20" s="61">
        <f t="shared" si="18"/>
        <v>-34093.653126956538</v>
      </c>
      <c r="AT20">
        <f t="shared" si="9"/>
        <v>1</v>
      </c>
    </row>
    <row r="21" spans="1:46" x14ac:dyDescent="0.2">
      <c r="A21" s="31" t="s">
        <v>58</v>
      </c>
      <c r="B21" s="30">
        <v>44562</v>
      </c>
      <c r="C21" s="31">
        <f t="shared" si="0"/>
        <v>2</v>
      </c>
      <c r="D21" s="31">
        <v>19</v>
      </c>
      <c r="E21" s="29">
        <f t="shared" ref="E21:F36" si="19">E20</f>
        <v>115000</v>
      </c>
      <c r="F21" s="36">
        <f t="shared" si="19"/>
        <v>9000</v>
      </c>
      <c r="G21" s="36">
        <v>6.25</v>
      </c>
      <c r="H21" s="36">
        <f t="shared" si="1"/>
        <v>27450</v>
      </c>
      <c r="I21" s="37">
        <f>H21*'Analyzier - Inputs'!$D$4</f>
        <v>1098</v>
      </c>
      <c r="J21" s="36">
        <f t="shared" si="2"/>
        <v>28548</v>
      </c>
      <c r="K21" s="84">
        <f t="shared" si="11"/>
        <v>2.4824347826086959E-4</v>
      </c>
      <c r="L21" s="60">
        <f>'Analyzier - Inputs'!$E$8*K21*'Analyzier - Inputs'!$E$4*'Analyzier - Inputs'!$B$4*'Analyzier - Inputs'!$H$8</f>
        <v>55832.440695652178</v>
      </c>
      <c r="M21" s="61">
        <f>('Analyzier - Inputs'!$F$8/1000)*'Analyzier - Inputs'!$C$22*24*(365/12)*'Analyzier - Inputs'!$B$4*'Analyzier - Inputs'!$H$8</f>
        <v>18972.408000000003</v>
      </c>
      <c r="N21" s="61">
        <f>(L21-M21)*'Analyzier - Inputs'!$F$4*(1-'Analyzier - Inputs'!$I$4)</f>
        <v>33911.230080000001</v>
      </c>
      <c r="O21" s="43">
        <f t="shared" si="12"/>
        <v>34733.371520000139</v>
      </c>
      <c r="P21">
        <f t="shared" si="3"/>
        <v>0</v>
      </c>
      <c r="Q21" s="60">
        <f>'Analyzier - Inputs'!$E$9*K21*'Analyzier - Inputs'!$E$4*'Analyzier - Inputs'!$B$4*'Analyzier - Inputs'!$H$9</f>
        <v>44576.584904347823</v>
      </c>
      <c r="R21" s="61">
        <f>('Analyzier - Inputs'!$F$9/1000)*'Analyzier - Inputs'!$C$22*24*(365/12)*'Analyzier - Inputs'!$B$4*'Analyzier - Inputs'!$H$9</f>
        <v>18934.448</v>
      </c>
      <c r="S21" s="61">
        <f>(Q21-R21)*'Analyzier - Inputs'!$F$4*(1-'Analyzier - Inputs'!$I$4)</f>
        <v>23590.765951999998</v>
      </c>
      <c r="T21" s="61">
        <f t="shared" si="13"/>
        <v>22484.553087999844</v>
      </c>
      <c r="U21">
        <f t="shared" si="4"/>
        <v>0</v>
      </c>
      <c r="V21" s="60">
        <f>'Analyzier - Inputs'!$E$10*K21*'Analyzier - Inputs'!$E$4*'Analyzier - Inputs'!$B$4*'Analyzier - Inputs'!$H$10</f>
        <v>31904.251826086962</v>
      </c>
      <c r="W21" s="61">
        <f>('Analyzier - Inputs'!$F$10/1000)*'Analyzier - Inputs'!$C$22*24*(365/12)*'Analyzier - Inputs'!$B$4*'Analyzier - Inputs'!$H$10</f>
        <v>18972.408000000003</v>
      </c>
      <c r="X21" s="61">
        <f>(V21-W21)*'Analyzier - Inputs'!$F$4*(1-'Analyzier - Inputs'!$I$4)</f>
        <v>11897.296320000003</v>
      </c>
      <c r="Y21" s="61">
        <f t="shared" si="14"/>
        <v>37868.630080000046</v>
      </c>
      <c r="Z21">
        <f t="shared" si="5"/>
        <v>0</v>
      </c>
      <c r="AA21" s="60">
        <f>'Analyzier - Inputs'!$E$11*K21*'Analyzier - Inputs'!$E$4*'Analyzier - Inputs'!$B$4*'Analyzier - Inputs'!$H$11</f>
        <v>64311.196695652179</v>
      </c>
      <c r="AB21" s="61">
        <f>('Analyzier - Inputs'!$F$11/1000)*'Analyzier - Inputs'!$C$22*24*(365/12)*'Analyzier - Inputs'!$B$4*'Analyzier - Inputs'!$H$11</f>
        <v>18978.102000000003</v>
      </c>
      <c r="AC21" s="61">
        <f>(AA21-AB21)*'Analyzier - Inputs'!$F$4*(1-'Analyzier - Inputs'!$I$4)</f>
        <v>41706.447120000004</v>
      </c>
      <c r="AD21" s="61">
        <f t="shared" si="15"/>
        <v>42442.495280000287</v>
      </c>
      <c r="AE21">
        <f t="shared" si="6"/>
        <v>0</v>
      </c>
      <c r="AF21" s="60">
        <f>'Analyzier - Inputs'!$E$12*K21*'Analyzier - Inputs'!$E$4*'Analyzier - Inputs'!$B$4*'Analyzier - Inputs'!$H$12</f>
        <v>46761.624000000011</v>
      </c>
      <c r="AG21" s="61">
        <f>('Analyzier - Inputs'!$F$12/1000)*'Analyzier - Inputs'!$C$22*24*(365/12)*'Analyzier - Inputs'!$B$4*'Analyzier - Inputs'!$H$12</f>
        <v>18945.836000000003</v>
      </c>
      <c r="AH21" s="61">
        <f>(AF21-AG21)*'Analyzier - Inputs'!$F$4*(1-'Analyzier - Inputs'!$I$4)</f>
        <v>25590.52496000001</v>
      </c>
      <c r="AI21" s="61">
        <f t="shared" si="16"/>
        <v>100919.97424000019</v>
      </c>
      <c r="AJ21">
        <f t="shared" si="7"/>
        <v>0</v>
      </c>
      <c r="AK21" s="60">
        <f>'Analyzier - Inputs'!$E$13*K21*'Analyzier - Inputs'!$E$4*'Analyzier - Inputs'!$B$4*'Analyzier - Inputs'!$H$13*'Analyzier - Inputs'!$G$4*'Analyzier - Inputs'!$H$4</f>
        <v>52977.144208695667</v>
      </c>
      <c r="AL21" s="61">
        <f>('Analyzier - Inputs'!$F$12/1000)*'Analyzier - Inputs'!$C$22*24*(365/12)*'Analyzier - Inputs'!$B$4*'Analyzier - Inputs'!$H$12</f>
        <v>18945.836000000003</v>
      </c>
      <c r="AM21" s="61">
        <f>(AK21-AL21)*'Analyzier - Inputs'!$F$4</f>
        <v>34031.308208695664</v>
      </c>
      <c r="AN21" s="61">
        <f t="shared" si="17"/>
        <v>24208.858988522006</v>
      </c>
      <c r="AO21">
        <f t="shared" si="8"/>
        <v>0</v>
      </c>
      <c r="AP21" s="60">
        <f>'Analyzier - Inputs'!$E$14*K21*'Analyzier - Inputs'!$E$4*'Analyzier - Inputs'!$B$4*'Analyzier - Inputs'!$H$14*'Analyzier - Inputs'!$G$4*'Analyzier - Inputs'!$H$4</f>
        <v>65685.224347826093</v>
      </c>
      <c r="AQ21" s="61">
        <f>('Analyzier - Inputs'!$F$12/1000)*'Analyzier - Inputs'!$C$22*24*(365/12)*'Analyzier - Inputs'!$B$4*'Analyzier - Inputs'!$H$12</f>
        <v>18945.836000000003</v>
      </c>
      <c r="AR21" s="61">
        <f>(AP21-AQ21)*'Analyzier - Inputs'!$F$4</f>
        <v>46739.38834782609</v>
      </c>
      <c r="AS21" s="61">
        <f t="shared" si="18"/>
        <v>12645.735220869552</v>
      </c>
      <c r="AT21">
        <f t="shared" si="9"/>
        <v>0</v>
      </c>
    </row>
    <row r="22" spans="1:46" x14ac:dyDescent="0.2">
      <c r="A22" s="31" t="s">
        <v>59</v>
      </c>
      <c r="B22" s="30">
        <v>44593</v>
      </c>
      <c r="C22" s="31">
        <f t="shared" si="0"/>
        <v>2</v>
      </c>
      <c r="D22" s="31">
        <v>20</v>
      </c>
      <c r="E22" s="29">
        <f t="shared" si="19"/>
        <v>115000</v>
      </c>
      <c r="F22" s="36">
        <f t="shared" si="19"/>
        <v>9000</v>
      </c>
      <c r="G22" s="36">
        <v>6.25</v>
      </c>
      <c r="H22" s="36">
        <f t="shared" si="1"/>
        <v>27450</v>
      </c>
      <c r="I22" s="37">
        <f>H22*'Analyzier - Inputs'!$D$4</f>
        <v>1098</v>
      </c>
      <c r="J22" s="36">
        <f t="shared" si="2"/>
        <v>28548</v>
      </c>
      <c r="K22" s="84">
        <f t="shared" si="11"/>
        <v>2.4824347826086959E-4</v>
      </c>
      <c r="L22" s="60">
        <f>'Analyzier - Inputs'!$E$8*K22*'Analyzier - Inputs'!$E$4*'Analyzier - Inputs'!$B$4*'Analyzier - Inputs'!$H$8</f>
        <v>55832.440695652178</v>
      </c>
      <c r="M22" s="61">
        <f>('Analyzier - Inputs'!$F$8/1000)*'Analyzier - Inputs'!$C$22*24*(365/12)*'Analyzier - Inputs'!$B$4*'Analyzier - Inputs'!$H$8</f>
        <v>18972.408000000003</v>
      </c>
      <c r="N22" s="61">
        <f>(L22-M22)*'Analyzier - Inputs'!$F$4*(1-'Analyzier - Inputs'!$I$4)</f>
        <v>33911.230080000001</v>
      </c>
      <c r="O22" s="43">
        <f t="shared" si="12"/>
        <v>68644.60160000014</v>
      </c>
      <c r="P22">
        <f t="shared" si="3"/>
        <v>0</v>
      </c>
      <c r="Q22" s="60">
        <f>'Analyzier - Inputs'!$E$9*K22*'Analyzier - Inputs'!$E$4*'Analyzier - Inputs'!$B$4*'Analyzier - Inputs'!$H$9</f>
        <v>44576.584904347823</v>
      </c>
      <c r="R22" s="61">
        <f>('Analyzier - Inputs'!$F$9/1000)*'Analyzier - Inputs'!$C$22*24*(365/12)*'Analyzier - Inputs'!$B$4*'Analyzier - Inputs'!$H$9</f>
        <v>18934.448</v>
      </c>
      <c r="S22" s="61">
        <f>(Q22-R22)*'Analyzier - Inputs'!$F$4*(1-'Analyzier - Inputs'!$I$4)</f>
        <v>23590.765951999998</v>
      </c>
      <c r="T22" s="61">
        <f t="shared" si="13"/>
        <v>46075.319039999842</v>
      </c>
      <c r="U22">
        <f t="shared" si="4"/>
        <v>0</v>
      </c>
      <c r="V22" s="60">
        <f>'Analyzier - Inputs'!$E$10*K22*'Analyzier - Inputs'!$E$4*'Analyzier - Inputs'!$B$4*'Analyzier - Inputs'!$H$10</f>
        <v>31904.251826086962</v>
      </c>
      <c r="W22" s="61">
        <f>('Analyzier - Inputs'!$F$10/1000)*'Analyzier - Inputs'!$C$22*24*(365/12)*'Analyzier - Inputs'!$B$4*'Analyzier - Inputs'!$H$10</f>
        <v>18972.408000000003</v>
      </c>
      <c r="X22" s="61">
        <f>(V22-W22)*'Analyzier - Inputs'!$F$4*(1-'Analyzier - Inputs'!$I$4)</f>
        <v>11897.296320000003</v>
      </c>
      <c r="Y22" s="61">
        <f t="shared" si="14"/>
        <v>49765.926400000048</v>
      </c>
      <c r="Z22">
        <f t="shared" si="5"/>
        <v>0</v>
      </c>
      <c r="AA22" s="60">
        <f>'Analyzier - Inputs'!$E$11*K22*'Analyzier - Inputs'!$E$4*'Analyzier - Inputs'!$B$4*'Analyzier - Inputs'!$H$11</f>
        <v>64311.196695652179</v>
      </c>
      <c r="AB22" s="61">
        <f>('Analyzier - Inputs'!$F$11/1000)*'Analyzier - Inputs'!$C$22*24*(365/12)*'Analyzier - Inputs'!$B$4*'Analyzier - Inputs'!$H$11</f>
        <v>18978.102000000003</v>
      </c>
      <c r="AC22" s="61">
        <f>(AA22-AB22)*'Analyzier - Inputs'!$F$4*(1-'Analyzier - Inputs'!$I$4)</f>
        <v>41706.447120000004</v>
      </c>
      <c r="AD22" s="61">
        <f t="shared" si="15"/>
        <v>84148.942400000291</v>
      </c>
      <c r="AE22">
        <f t="shared" si="6"/>
        <v>0</v>
      </c>
      <c r="AF22" s="60">
        <f>'Analyzier - Inputs'!$E$12*K22*'Analyzier - Inputs'!$E$4*'Analyzier - Inputs'!$B$4*'Analyzier - Inputs'!$H$12</f>
        <v>46761.624000000011</v>
      </c>
      <c r="AG22" s="61">
        <f>('Analyzier - Inputs'!$F$12/1000)*'Analyzier - Inputs'!$C$22*24*(365/12)*'Analyzier - Inputs'!$B$4*'Analyzier - Inputs'!$H$12</f>
        <v>18945.836000000003</v>
      </c>
      <c r="AH22" s="61">
        <f>(AF22-AG22)*'Analyzier - Inputs'!$F$4*(1-'Analyzier - Inputs'!$I$4)</f>
        <v>25590.52496000001</v>
      </c>
      <c r="AI22" s="61">
        <f t="shared" si="16"/>
        <v>126510.49920000019</v>
      </c>
      <c r="AJ22">
        <f t="shared" si="7"/>
        <v>0</v>
      </c>
      <c r="AK22" s="60">
        <f>'Analyzier - Inputs'!$E$13*K22*'Analyzier - Inputs'!$E$4*'Analyzier - Inputs'!$B$4*'Analyzier - Inputs'!$H$13*'Analyzier - Inputs'!$G$4*'Analyzier - Inputs'!$H$4</f>
        <v>52977.144208695667</v>
      </c>
      <c r="AL22" s="61">
        <f>('Analyzier - Inputs'!$F$12/1000)*'Analyzier - Inputs'!$C$22*24*(365/12)*'Analyzier - Inputs'!$B$4*'Analyzier - Inputs'!$H$12</f>
        <v>18945.836000000003</v>
      </c>
      <c r="AM22" s="61">
        <f>(AK22-AL22)*'Analyzier - Inputs'!$F$4</f>
        <v>34031.308208695664</v>
      </c>
      <c r="AN22" s="61">
        <f t="shared" si="17"/>
        <v>58240.16719721767</v>
      </c>
      <c r="AO22">
        <f t="shared" si="8"/>
        <v>0</v>
      </c>
      <c r="AP22" s="60">
        <f>'Analyzier - Inputs'!$E$14*K22*'Analyzier - Inputs'!$E$4*'Analyzier - Inputs'!$B$4*'Analyzier - Inputs'!$H$14*'Analyzier - Inputs'!$G$4*'Analyzier - Inputs'!$H$4</f>
        <v>65685.224347826093</v>
      </c>
      <c r="AQ22" s="61">
        <f>('Analyzier - Inputs'!$F$12/1000)*'Analyzier - Inputs'!$C$22*24*(365/12)*'Analyzier - Inputs'!$B$4*'Analyzier - Inputs'!$H$12</f>
        <v>18945.836000000003</v>
      </c>
      <c r="AR22" s="61">
        <f>(AP22-AQ22)*'Analyzier - Inputs'!$F$4</f>
        <v>46739.38834782609</v>
      </c>
      <c r="AS22" s="61">
        <f t="shared" si="18"/>
        <v>59385.123568695642</v>
      </c>
      <c r="AT22">
        <f t="shared" si="9"/>
        <v>0</v>
      </c>
    </row>
    <row r="23" spans="1:46" x14ac:dyDescent="0.2">
      <c r="A23" s="31" t="s">
        <v>60</v>
      </c>
      <c r="B23" s="30">
        <v>44621</v>
      </c>
      <c r="C23" s="31">
        <f t="shared" si="0"/>
        <v>2</v>
      </c>
      <c r="D23" s="31">
        <v>21</v>
      </c>
      <c r="E23" s="29">
        <f t="shared" si="19"/>
        <v>115000</v>
      </c>
      <c r="F23" s="36">
        <f t="shared" si="19"/>
        <v>9000</v>
      </c>
      <c r="G23" s="36">
        <v>6.25</v>
      </c>
      <c r="H23" s="36">
        <f t="shared" si="1"/>
        <v>27450</v>
      </c>
      <c r="I23" s="37">
        <f>H23*'Analyzier - Inputs'!$D$4</f>
        <v>1098</v>
      </c>
      <c r="J23" s="36">
        <f t="shared" si="2"/>
        <v>28548</v>
      </c>
      <c r="K23" s="84">
        <f t="shared" si="11"/>
        <v>2.4824347826086959E-4</v>
      </c>
      <c r="L23" s="60">
        <f>'Analyzier - Inputs'!$E$8*K23*'Analyzier - Inputs'!$E$4*'Analyzier - Inputs'!$B$4*'Analyzier - Inputs'!$H$8</f>
        <v>55832.440695652178</v>
      </c>
      <c r="M23" s="61">
        <f>('Analyzier - Inputs'!$F$8/1000)*'Analyzier - Inputs'!$C$22*24*(365/12)*'Analyzier - Inputs'!$B$4*'Analyzier - Inputs'!$H$8</f>
        <v>18972.408000000003</v>
      </c>
      <c r="N23" s="61">
        <f>(L23-M23)*'Analyzier - Inputs'!$F$4*(1-'Analyzier - Inputs'!$I$4)</f>
        <v>33911.230080000001</v>
      </c>
      <c r="O23" s="43">
        <f t="shared" si="12"/>
        <v>102555.83168000015</v>
      </c>
      <c r="P23">
        <f t="shared" si="3"/>
        <v>0</v>
      </c>
      <c r="Q23" s="60">
        <f>'Analyzier - Inputs'!$E$9*K23*'Analyzier - Inputs'!$E$4*'Analyzier - Inputs'!$B$4*'Analyzier - Inputs'!$H$9</f>
        <v>44576.584904347823</v>
      </c>
      <c r="R23" s="61">
        <f>('Analyzier - Inputs'!$F$9/1000)*'Analyzier - Inputs'!$C$22*24*(365/12)*'Analyzier - Inputs'!$B$4*'Analyzier - Inputs'!$H$9</f>
        <v>18934.448</v>
      </c>
      <c r="S23" s="61">
        <f>(Q23-R23)*'Analyzier - Inputs'!$F$4*(1-'Analyzier - Inputs'!$I$4)</f>
        <v>23590.765951999998</v>
      </c>
      <c r="T23" s="61">
        <f t="shared" si="13"/>
        <v>69666.084991999844</v>
      </c>
      <c r="U23">
        <f t="shared" si="4"/>
        <v>0</v>
      </c>
      <c r="V23" s="60">
        <f>'Analyzier - Inputs'!$E$10*K23*'Analyzier - Inputs'!$E$4*'Analyzier - Inputs'!$B$4*'Analyzier - Inputs'!$H$10</f>
        <v>31904.251826086962</v>
      </c>
      <c r="W23" s="61">
        <f>('Analyzier - Inputs'!$F$10/1000)*'Analyzier - Inputs'!$C$22*24*(365/12)*'Analyzier - Inputs'!$B$4*'Analyzier - Inputs'!$H$10</f>
        <v>18972.408000000003</v>
      </c>
      <c r="X23" s="61">
        <f>(V23-W23)*'Analyzier - Inputs'!$F$4*(1-'Analyzier - Inputs'!$I$4)</f>
        <v>11897.296320000003</v>
      </c>
      <c r="Y23" s="61">
        <f t="shared" si="14"/>
        <v>61663.222720000049</v>
      </c>
      <c r="Z23">
        <f t="shared" si="5"/>
        <v>0</v>
      </c>
      <c r="AA23" s="60">
        <f>'Analyzier - Inputs'!$E$11*K23*'Analyzier - Inputs'!$E$4*'Analyzier - Inputs'!$B$4*'Analyzier - Inputs'!$H$11</f>
        <v>64311.196695652179</v>
      </c>
      <c r="AB23" s="61">
        <f>('Analyzier - Inputs'!$F$11/1000)*'Analyzier - Inputs'!$C$22*24*(365/12)*'Analyzier - Inputs'!$B$4*'Analyzier - Inputs'!$H$11</f>
        <v>18978.102000000003</v>
      </c>
      <c r="AC23" s="61">
        <f>(AA23-AB23)*'Analyzier - Inputs'!$F$4*(1-'Analyzier - Inputs'!$I$4)</f>
        <v>41706.447120000004</v>
      </c>
      <c r="AD23" s="61">
        <f t="shared" si="15"/>
        <v>125855.38952000029</v>
      </c>
      <c r="AE23">
        <f t="shared" si="6"/>
        <v>0</v>
      </c>
      <c r="AF23" s="60">
        <f>'Analyzier - Inputs'!$E$12*K23*'Analyzier - Inputs'!$E$4*'Analyzier - Inputs'!$B$4*'Analyzier - Inputs'!$H$12</f>
        <v>46761.624000000011</v>
      </c>
      <c r="AG23" s="61">
        <f>('Analyzier - Inputs'!$F$12/1000)*'Analyzier - Inputs'!$C$22*24*(365/12)*'Analyzier - Inputs'!$B$4*'Analyzier - Inputs'!$H$12</f>
        <v>18945.836000000003</v>
      </c>
      <c r="AH23" s="61">
        <f>(AF23-AG23)*'Analyzier - Inputs'!$F$4*(1-'Analyzier - Inputs'!$I$4)</f>
        <v>25590.52496000001</v>
      </c>
      <c r="AI23" s="61">
        <f t="shared" si="16"/>
        <v>152101.0241600002</v>
      </c>
      <c r="AJ23">
        <f t="shared" si="7"/>
        <v>0</v>
      </c>
      <c r="AK23" s="60">
        <f>'Analyzier - Inputs'!$E$13*K23*'Analyzier - Inputs'!$E$4*'Analyzier - Inputs'!$B$4*'Analyzier - Inputs'!$H$13*'Analyzier - Inputs'!$G$4*'Analyzier - Inputs'!$H$4</f>
        <v>52977.144208695667</v>
      </c>
      <c r="AL23" s="61">
        <f>('Analyzier - Inputs'!$F$12/1000)*'Analyzier - Inputs'!$C$22*24*(365/12)*'Analyzier - Inputs'!$B$4*'Analyzier - Inputs'!$H$12</f>
        <v>18945.836000000003</v>
      </c>
      <c r="AM23" s="61">
        <f>(AK23-AL23)*'Analyzier - Inputs'!$F$4</f>
        <v>34031.308208695664</v>
      </c>
      <c r="AN23" s="61">
        <f t="shared" si="17"/>
        <v>92271.475405913341</v>
      </c>
      <c r="AO23">
        <f t="shared" si="8"/>
        <v>0</v>
      </c>
      <c r="AP23" s="60">
        <f>'Analyzier - Inputs'!$E$14*K23*'Analyzier - Inputs'!$E$4*'Analyzier - Inputs'!$B$4*'Analyzier - Inputs'!$H$14*'Analyzier - Inputs'!$G$4*'Analyzier - Inputs'!$H$4</f>
        <v>65685.224347826093</v>
      </c>
      <c r="AQ23" s="61">
        <f>('Analyzier - Inputs'!$F$12/1000)*'Analyzier - Inputs'!$C$22*24*(365/12)*'Analyzier - Inputs'!$B$4*'Analyzier - Inputs'!$H$12</f>
        <v>18945.836000000003</v>
      </c>
      <c r="AR23" s="61">
        <f>(AP23-AQ23)*'Analyzier - Inputs'!$F$4</f>
        <v>46739.38834782609</v>
      </c>
      <c r="AS23" s="61">
        <f t="shared" si="18"/>
        <v>106124.51191652173</v>
      </c>
      <c r="AT23">
        <f t="shared" si="9"/>
        <v>0</v>
      </c>
    </row>
    <row r="24" spans="1:46" x14ac:dyDescent="0.2">
      <c r="A24" s="31" t="s">
        <v>61</v>
      </c>
      <c r="B24" s="30">
        <v>44652</v>
      </c>
      <c r="C24" s="31">
        <f t="shared" si="0"/>
        <v>2</v>
      </c>
      <c r="D24" s="31">
        <v>22</v>
      </c>
      <c r="E24" s="29">
        <f t="shared" si="19"/>
        <v>115000</v>
      </c>
      <c r="F24" s="36">
        <f t="shared" si="19"/>
        <v>9000</v>
      </c>
      <c r="G24" s="36">
        <v>6.25</v>
      </c>
      <c r="H24" s="36">
        <f t="shared" si="1"/>
        <v>27450</v>
      </c>
      <c r="I24" s="37">
        <f>H24*'Analyzier - Inputs'!$D$4</f>
        <v>1098</v>
      </c>
      <c r="J24" s="36">
        <f t="shared" si="2"/>
        <v>28548</v>
      </c>
      <c r="K24" s="84">
        <f t="shared" si="11"/>
        <v>2.4824347826086959E-4</v>
      </c>
      <c r="L24" s="60">
        <f>'Analyzier - Inputs'!$E$8*K24*'Analyzier - Inputs'!$E$4*'Analyzier - Inputs'!$B$4*'Analyzier - Inputs'!$H$8</f>
        <v>55832.440695652178</v>
      </c>
      <c r="M24" s="61">
        <f>('Analyzier - Inputs'!$F$8/1000)*'Analyzier - Inputs'!$C$22*24*(365/12)*'Analyzier - Inputs'!$B$4*'Analyzier - Inputs'!$H$8</f>
        <v>18972.408000000003</v>
      </c>
      <c r="N24" s="61">
        <f>(L24-M24)*'Analyzier - Inputs'!$F$4*(1-'Analyzier - Inputs'!$I$4)</f>
        <v>33911.230080000001</v>
      </c>
      <c r="O24" s="43">
        <f t="shared" si="12"/>
        <v>136467.06176000016</v>
      </c>
      <c r="P24">
        <f t="shared" si="3"/>
        <v>0</v>
      </c>
      <c r="Q24" s="60">
        <f>'Analyzier - Inputs'!$E$9*K24*'Analyzier - Inputs'!$E$4*'Analyzier - Inputs'!$B$4*'Analyzier - Inputs'!$H$9</f>
        <v>44576.584904347823</v>
      </c>
      <c r="R24" s="61">
        <f>('Analyzier - Inputs'!$F$9/1000)*'Analyzier - Inputs'!$C$22*24*(365/12)*'Analyzier - Inputs'!$B$4*'Analyzier - Inputs'!$H$9</f>
        <v>18934.448</v>
      </c>
      <c r="S24" s="61">
        <f>(Q24-R24)*'Analyzier - Inputs'!$F$4*(1-'Analyzier - Inputs'!$I$4)</f>
        <v>23590.765951999998</v>
      </c>
      <c r="T24" s="61">
        <f t="shared" si="13"/>
        <v>93256.850943999845</v>
      </c>
      <c r="U24">
        <f t="shared" si="4"/>
        <v>0</v>
      </c>
      <c r="V24" s="60">
        <f>'Analyzier - Inputs'!$E$10*K24*'Analyzier - Inputs'!$E$4*'Analyzier - Inputs'!$B$4*'Analyzier - Inputs'!$H$10</f>
        <v>31904.251826086962</v>
      </c>
      <c r="W24" s="61">
        <f>('Analyzier - Inputs'!$F$10/1000)*'Analyzier - Inputs'!$C$22*24*(365/12)*'Analyzier - Inputs'!$B$4*'Analyzier - Inputs'!$H$10</f>
        <v>18972.408000000003</v>
      </c>
      <c r="X24" s="61">
        <f>(V24-W24)*'Analyzier - Inputs'!$F$4*(1-'Analyzier - Inputs'!$I$4)</f>
        <v>11897.296320000003</v>
      </c>
      <c r="Y24" s="61">
        <f t="shared" si="14"/>
        <v>73560.519040000057</v>
      </c>
      <c r="Z24">
        <f t="shared" si="5"/>
        <v>0</v>
      </c>
      <c r="AA24" s="60">
        <f>'Analyzier - Inputs'!$E$11*K24*'Analyzier - Inputs'!$E$4*'Analyzier - Inputs'!$B$4*'Analyzier - Inputs'!$H$11</f>
        <v>64311.196695652179</v>
      </c>
      <c r="AB24" s="61">
        <f>('Analyzier - Inputs'!$F$11/1000)*'Analyzier - Inputs'!$C$22*24*(365/12)*'Analyzier - Inputs'!$B$4*'Analyzier - Inputs'!$H$11</f>
        <v>18978.102000000003</v>
      </c>
      <c r="AC24" s="61">
        <f>(AA24-AB24)*'Analyzier - Inputs'!$F$4*(1-'Analyzier - Inputs'!$I$4)</f>
        <v>41706.447120000004</v>
      </c>
      <c r="AD24" s="61">
        <f t="shared" si="15"/>
        <v>167561.83664000029</v>
      </c>
      <c r="AE24">
        <f t="shared" si="6"/>
        <v>0</v>
      </c>
      <c r="AF24" s="60">
        <f>'Analyzier - Inputs'!$E$12*K24*'Analyzier - Inputs'!$E$4*'Analyzier - Inputs'!$B$4*'Analyzier - Inputs'!$H$12</f>
        <v>46761.624000000011</v>
      </c>
      <c r="AG24" s="61">
        <f>('Analyzier - Inputs'!$F$12/1000)*'Analyzier - Inputs'!$C$22*24*(365/12)*'Analyzier - Inputs'!$B$4*'Analyzier - Inputs'!$H$12</f>
        <v>18945.836000000003</v>
      </c>
      <c r="AH24" s="61">
        <f>(AF24-AG24)*'Analyzier - Inputs'!$F$4*(1-'Analyzier - Inputs'!$I$4)</f>
        <v>25590.52496000001</v>
      </c>
      <c r="AI24" s="61">
        <f t="shared" si="16"/>
        <v>177691.54912000021</v>
      </c>
      <c r="AJ24">
        <f t="shared" si="7"/>
        <v>0</v>
      </c>
      <c r="AK24" s="60">
        <f>'Analyzier - Inputs'!$E$13*K24*'Analyzier - Inputs'!$E$4*'Analyzier - Inputs'!$B$4*'Analyzier - Inputs'!$H$13*'Analyzier - Inputs'!$G$4*'Analyzier - Inputs'!$H$4</f>
        <v>52977.144208695667</v>
      </c>
      <c r="AL24" s="61">
        <f>('Analyzier - Inputs'!$F$12/1000)*'Analyzier - Inputs'!$C$22*24*(365/12)*'Analyzier - Inputs'!$B$4*'Analyzier - Inputs'!$H$12</f>
        <v>18945.836000000003</v>
      </c>
      <c r="AM24" s="61">
        <f>(AK24-AL24)*'Analyzier - Inputs'!$F$4</f>
        <v>34031.308208695664</v>
      </c>
      <c r="AN24" s="61">
        <f t="shared" si="17"/>
        <v>126302.78361460901</v>
      </c>
      <c r="AO24">
        <f t="shared" si="8"/>
        <v>0</v>
      </c>
      <c r="AP24" s="60">
        <f>'Analyzier - Inputs'!$E$14*K24*'Analyzier - Inputs'!$E$4*'Analyzier - Inputs'!$B$4*'Analyzier - Inputs'!$H$14*'Analyzier - Inputs'!$G$4*'Analyzier - Inputs'!$H$4</f>
        <v>65685.224347826093</v>
      </c>
      <c r="AQ24" s="61">
        <f>('Analyzier - Inputs'!$F$12/1000)*'Analyzier - Inputs'!$C$22*24*(365/12)*'Analyzier - Inputs'!$B$4*'Analyzier - Inputs'!$H$12</f>
        <v>18945.836000000003</v>
      </c>
      <c r="AR24" s="61">
        <f>(AP24-AQ24)*'Analyzier - Inputs'!$F$4</f>
        <v>46739.38834782609</v>
      </c>
      <c r="AS24" s="61">
        <f t="shared" si="18"/>
        <v>152863.90026434782</v>
      </c>
      <c r="AT24">
        <f t="shared" si="9"/>
        <v>0</v>
      </c>
    </row>
    <row r="25" spans="1:46" x14ac:dyDescent="0.2">
      <c r="A25" s="31" t="s">
        <v>62</v>
      </c>
      <c r="B25" s="30">
        <v>44682</v>
      </c>
      <c r="C25" s="31">
        <f t="shared" si="0"/>
        <v>2</v>
      </c>
      <c r="D25" s="31">
        <v>23</v>
      </c>
      <c r="E25" s="29">
        <f t="shared" si="19"/>
        <v>115000</v>
      </c>
      <c r="F25" s="36">
        <f t="shared" si="19"/>
        <v>9000</v>
      </c>
      <c r="G25" s="36">
        <v>6.25</v>
      </c>
      <c r="H25" s="36">
        <f t="shared" si="1"/>
        <v>27450</v>
      </c>
      <c r="I25" s="37">
        <f>H25*'Analyzier - Inputs'!$D$4</f>
        <v>1098</v>
      </c>
      <c r="J25" s="36">
        <f t="shared" si="2"/>
        <v>28548</v>
      </c>
      <c r="K25" s="84">
        <f t="shared" si="11"/>
        <v>2.4824347826086959E-4</v>
      </c>
      <c r="L25" s="60">
        <f>'Analyzier - Inputs'!$E$8*K25*'Analyzier - Inputs'!$E$4*'Analyzier - Inputs'!$B$4*'Analyzier - Inputs'!$H$8</f>
        <v>55832.440695652178</v>
      </c>
      <c r="M25" s="61">
        <f>('Analyzier - Inputs'!$F$8/1000)*'Analyzier - Inputs'!$C$22*24*(365/12)*'Analyzier - Inputs'!$B$4*'Analyzier - Inputs'!$H$8</f>
        <v>18972.408000000003</v>
      </c>
      <c r="N25" s="61">
        <f>(L25-M25)*'Analyzier - Inputs'!$F$4*(1-'Analyzier - Inputs'!$I$4)</f>
        <v>33911.230080000001</v>
      </c>
      <c r="O25" s="43">
        <f t="shared" si="12"/>
        <v>170378.29184000017</v>
      </c>
      <c r="P25">
        <f t="shared" si="3"/>
        <v>0</v>
      </c>
      <c r="Q25" s="60">
        <f>'Analyzier - Inputs'!$E$9*K25*'Analyzier - Inputs'!$E$4*'Analyzier - Inputs'!$B$4*'Analyzier - Inputs'!$H$9</f>
        <v>44576.584904347823</v>
      </c>
      <c r="R25" s="61">
        <f>('Analyzier - Inputs'!$F$9/1000)*'Analyzier - Inputs'!$C$22*24*(365/12)*'Analyzier - Inputs'!$B$4*'Analyzier - Inputs'!$H$9</f>
        <v>18934.448</v>
      </c>
      <c r="S25" s="61">
        <f>(Q25-R25)*'Analyzier - Inputs'!$F$4*(1-'Analyzier - Inputs'!$I$4)</f>
        <v>23590.765951999998</v>
      </c>
      <c r="T25" s="61">
        <f t="shared" si="13"/>
        <v>116847.61689599985</v>
      </c>
      <c r="U25">
        <f t="shared" si="4"/>
        <v>0</v>
      </c>
      <c r="V25" s="60">
        <f>'Analyzier - Inputs'!$E$10*K25*'Analyzier - Inputs'!$E$4*'Analyzier - Inputs'!$B$4*'Analyzier - Inputs'!$H$10</f>
        <v>31904.251826086962</v>
      </c>
      <c r="W25" s="61">
        <f>('Analyzier - Inputs'!$F$10/1000)*'Analyzier - Inputs'!$C$22*24*(365/12)*'Analyzier - Inputs'!$B$4*'Analyzier - Inputs'!$H$10</f>
        <v>18972.408000000003</v>
      </c>
      <c r="X25" s="61">
        <f>(V25-W25)*'Analyzier - Inputs'!$F$4*(1-'Analyzier - Inputs'!$I$4)</f>
        <v>11897.296320000003</v>
      </c>
      <c r="Y25" s="61">
        <f t="shared" si="14"/>
        <v>85457.815360000066</v>
      </c>
      <c r="Z25">
        <f t="shared" si="5"/>
        <v>0</v>
      </c>
      <c r="AA25" s="60">
        <f>'Analyzier - Inputs'!$E$11*K25*'Analyzier - Inputs'!$E$4*'Analyzier - Inputs'!$B$4*'Analyzier - Inputs'!$H$11</f>
        <v>64311.196695652179</v>
      </c>
      <c r="AB25" s="61">
        <f>('Analyzier - Inputs'!$F$11/1000)*'Analyzier - Inputs'!$C$22*24*(365/12)*'Analyzier - Inputs'!$B$4*'Analyzier - Inputs'!$H$11</f>
        <v>18978.102000000003</v>
      </c>
      <c r="AC25" s="61">
        <f>(AA25-AB25)*'Analyzier - Inputs'!$F$4*(1-'Analyzier - Inputs'!$I$4)</f>
        <v>41706.447120000004</v>
      </c>
      <c r="AD25" s="61">
        <f t="shared" si="15"/>
        <v>209268.28376000028</v>
      </c>
      <c r="AE25">
        <f t="shared" si="6"/>
        <v>0</v>
      </c>
      <c r="AF25" s="60">
        <f>'Analyzier - Inputs'!$E$12*K25*'Analyzier - Inputs'!$E$4*'Analyzier - Inputs'!$B$4*'Analyzier - Inputs'!$H$12</f>
        <v>46761.624000000011</v>
      </c>
      <c r="AG25" s="61">
        <f>('Analyzier - Inputs'!$F$12/1000)*'Analyzier - Inputs'!$C$22*24*(365/12)*'Analyzier - Inputs'!$B$4*'Analyzier - Inputs'!$H$12</f>
        <v>18945.836000000003</v>
      </c>
      <c r="AH25" s="61">
        <f>(AF25-AG25)*'Analyzier - Inputs'!$F$4*(1-'Analyzier - Inputs'!$I$4)</f>
        <v>25590.52496000001</v>
      </c>
      <c r="AI25" s="61">
        <f t="shared" si="16"/>
        <v>203282.07408000022</v>
      </c>
      <c r="AJ25">
        <f t="shared" si="7"/>
        <v>0</v>
      </c>
      <c r="AK25" s="60">
        <f>'Analyzier - Inputs'!$E$13*K25*'Analyzier - Inputs'!$E$4*'Analyzier - Inputs'!$B$4*'Analyzier - Inputs'!$H$13*'Analyzier - Inputs'!$G$4*'Analyzier - Inputs'!$H$4</f>
        <v>52977.144208695667</v>
      </c>
      <c r="AL25" s="61">
        <f>('Analyzier - Inputs'!$F$12/1000)*'Analyzier - Inputs'!$C$22*24*(365/12)*'Analyzier - Inputs'!$B$4*'Analyzier - Inputs'!$H$12</f>
        <v>18945.836000000003</v>
      </c>
      <c r="AM25" s="61">
        <f>(AK25-AL25)*'Analyzier - Inputs'!$F$4</f>
        <v>34031.308208695664</v>
      </c>
      <c r="AN25" s="61">
        <f t="shared" si="17"/>
        <v>160334.09182330468</v>
      </c>
      <c r="AO25">
        <f t="shared" si="8"/>
        <v>0</v>
      </c>
      <c r="AP25" s="60">
        <f>'Analyzier - Inputs'!$E$14*K25*'Analyzier - Inputs'!$E$4*'Analyzier - Inputs'!$B$4*'Analyzier - Inputs'!$H$14*'Analyzier - Inputs'!$G$4*'Analyzier - Inputs'!$H$4</f>
        <v>65685.224347826093</v>
      </c>
      <c r="AQ25" s="61">
        <f>('Analyzier - Inputs'!$F$12/1000)*'Analyzier - Inputs'!$C$22*24*(365/12)*'Analyzier - Inputs'!$B$4*'Analyzier - Inputs'!$H$12</f>
        <v>18945.836000000003</v>
      </c>
      <c r="AR25" s="61">
        <f>(AP25-AQ25)*'Analyzier - Inputs'!$F$4</f>
        <v>46739.38834782609</v>
      </c>
      <c r="AS25" s="61">
        <f t="shared" si="18"/>
        <v>199603.2886121739</v>
      </c>
      <c r="AT25">
        <f t="shared" si="9"/>
        <v>0</v>
      </c>
    </row>
    <row r="26" spans="1:46" x14ac:dyDescent="0.2">
      <c r="A26" s="31" t="s">
        <v>63</v>
      </c>
      <c r="B26" s="30">
        <v>44713</v>
      </c>
      <c r="C26" s="31">
        <f t="shared" si="0"/>
        <v>2</v>
      </c>
      <c r="D26" s="31">
        <v>24</v>
      </c>
      <c r="E26" s="29">
        <f t="shared" si="19"/>
        <v>115000</v>
      </c>
      <c r="F26" s="36">
        <f t="shared" si="19"/>
        <v>9000</v>
      </c>
      <c r="G26" s="36">
        <v>6.25</v>
      </c>
      <c r="H26" s="36">
        <f t="shared" si="1"/>
        <v>27450</v>
      </c>
      <c r="I26" s="37">
        <f>H26*'Analyzier - Inputs'!$D$4</f>
        <v>1098</v>
      </c>
      <c r="J26" s="36">
        <f t="shared" si="2"/>
        <v>28548</v>
      </c>
      <c r="K26" s="84">
        <f t="shared" si="11"/>
        <v>2.4824347826086959E-4</v>
      </c>
      <c r="L26" s="60">
        <f>'Analyzier - Inputs'!$E$8*K26*'Analyzier - Inputs'!$E$4*'Analyzier - Inputs'!$B$4*'Analyzier - Inputs'!$H$8</f>
        <v>55832.440695652178</v>
      </c>
      <c r="M26" s="61">
        <f>('Analyzier - Inputs'!$F$8/1000)*'Analyzier - Inputs'!$C$22*24*(365/12)*'Analyzier - Inputs'!$B$4*'Analyzier - Inputs'!$H$8</f>
        <v>18972.408000000003</v>
      </c>
      <c r="N26" s="61">
        <f>(L26-M26)*'Analyzier - Inputs'!$F$4*(1-'Analyzier - Inputs'!$I$4)</f>
        <v>33911.230080000001</v>
      </c>
      <c r="O26" s="43">
        <f t="shared" si="12"/>
        <v>204289.52192000017</v>
      </c>
      <c r="P26">
        <f t="shared" si="3"/>
        <v>0</v>
      </c>
      <c r="Q26" s="60">
        <f>'Analyzier - Inputs'!$E$9*K26*'Analyzier - Inputs'!$E$4*'Analyzier - Inputs'!$B$4*'Analyzier - Inputs'!$H$9</f>
        <v>44576.584904347823</v>
      </c>
      <c r="R26" s="61">
        <f>('Analyzier - Inputs'!$F$9/1000)*'Analyzier - Inputs'!$C$22*24*(365/12)*'Analyzier - Inputs'!$B$4*'Analyzier - Inputs'!$H$9</f>
        <v>18934.448</v>
      </c>
      <c r="S26" s="61">
        <f>(Q26-R26)*'Analyzier - Inputs'!$F$4*(1-'Analyzier - Inputs'!$I$4)</f>
        <v>23590.765951999998</v>
      </c>
      <c r="T26" s="61">
        <f t="shared" si="13"/>
        <v>140438.38284799983</v>
      </c>
      <c r="U26">
        <f t="shared" si="4"/>
        <v>0</v>
      </c>
      <c r="V26" s="60">
        <f>'Analyzier - Inputs'!$E$10*K26*'Analyzier - Inputs'!$E$4*'Analyzier - Inputs'!$B$4*'Analyzier - Inputs'!$H$10</f>
        <v>31904.251826086962</v>
      </c>
      <c r="W26" s="61">
        <f>('Analyzier - Inputs'!$F$10/1000)*'Analyzier - Inputs'!$C$22*24*(365/12)*'Analyzier - Inputs'!$B$4*'Analyzier - Inputs'!$H$10</f>
        <v>18972.408000000003</v>
      </c>
      <c r="X26" s="61">
        <f>(V26-W26)*'Analyzier - Inputs'!$F$4*(1-'Analyzier - Inputs'!$I$4)</f>
        <v>11897.296320000003</v>
      </c>
      <c r="Y26" s="61">
        <f t="shared" si="14"/>
        <v>97355.111680000075</v>
      </c>
      <c r="Z26">
        <f t="shared" si="5"/>
        <v>0</v>
      </c>
      <c r="AA26" s="60">
        <f>'Analyzier - Inputs'!$E$11*K26*'Analyzier - Inputs'!$E$4*'Analyzier - Inputs'!$B$4*'Analyzier - Inputs'!$H$11</f>
        <v>64311.196695652179</v>
      </c>
      <c r="AB26" s="61">
        <f>('Analyzier - Inputs'!$F$11/1000)*'Analyzier - Inputs'!$C$22*24*(365/12)*'Analyzier - Inputs'!$B$4*'Analyzier - Inputs'!$H$11</f>
        <v>18978.102000000003</v>
      </c>
      <c r="AC26" s="61">
        <f>(AA26-AB26)*'Analyzier - Inputs'!$F$4*(1-'Analyzier - Inputs'!$I$4)</f>
        <v>41706.447120000004</v>
      </c>
      <c r="AD26" s="61">
        <f t="shared" si="15"/>
        <v>250974.73088000028</v>
      </c>
      <c r="AE26">
        <f t="shared" si="6"/>
        <v>0</v>
      </c>
      <c r="AF26" s="60">
        <f>'Analyzier - Inputs'!$E$12*K26*'Analyzier - Inputs'!$E$4*'Analyzier - Inputs'!$B$4*'Analyzier - Inputs'!$H$12</f>
        <v>46761.624000000011</v>
      </c>
      <c r="AG26" s="61">
        <f>('Analyzier - Inputs'!$F$12/1000)*'Analyzier - Inputs'!$C$22*24*(365/12)*'Analyzier - Inputs'!$B$4*'Analyzier - Inputs'!$H$12</f>
        <v>18945.836000000003</v>
      </c>
      <c r="AH26" s="61">
        <f>(AF26-AG26)*'Analyzier - Inputs'!$F$4*(1-'Analyzier - Inputs'!$I$4)</f>
        <v>25590.52496000001</v>
      </c>
      <c r="AI26" s="61">
        <f t="shared" si="16"/>
        <v>228872.59904000023</v>
      </c>
      <c r="AJ26">
        <f t="shared" si="7"/>
        <v>0</v>
      </c>
      <c r="AK26" s="60">
        <f>'Analyzier - Inputs'!$E$13*K26*'Analyzier - Inputs'!$E$4*'Analyzier - Inputs'!$B$4*'Analyzier - Inputs'!$H$13*'Analyzier - Inputs'!$G$4*'Analyzier - Inputs'!$H$4</f>
        <v>52977.144208695667</v>
      </c>
      <c r="AL26" s="61">
        <f>('Analyzier - Inputs'!$F$12/1000)*'Analyzier - Inputs'!$C$22*24*(365/12)*'Analyzier - Inputs'!$B$4*'Analyzier - Inputs'!$H$12</f>
        <v>18945.836000000003</v>
      </c>
      <c r="AM26" s="61">
        <f>(AK26-AL26)*'Analyzier - Inputs'!$F$4</f>
        <v>34031.308208695664</v>
      </c>
      <c r="AN26" s="61">
        <f t="shared" si="17"/>
        <v>194365.40003200035</v>
      </c>
      <c r="AO26">
        <f t="shared" si="8"/>
        <v>0</v>
      </c>
      <c r="AP26" s="60">
        <f>'Analyzier - Inputs'!$E$14*K26*'Analyzier - Inputs'!$E$4*'Analyzier - Inputs'!$B$4*'Analyzier - Inputs'!$H$14*'Analyzier - Inputs'!$G$4*'Analyzier - Inputs'!$H$4</f>
        <v>65685.224347826093</v>
      </c>
      <c r="AQ26" s="61">
        <f>('Analyzier - Inputs'!$F$12/1000)*'Analyzier - Inputs'!$C$22*24*(365/12)*'Analyzier - Inputs'!$B$4*'Analyzier - Inputs'!$H$12</f>
        <v>18945.836000000003</v>
      </c>
      <c r="AR26" s="61">
        <f>(AP26-AQ26)*'Analyzier - Inputs'!$F$4</f>
        <v>46739.38834782609</v>
      </c>
      <c r="AS26" s="61">
        <f t="shared" si="18"/>
        <v>246342.67695999998</v>
      </c>
      <c r="AT26">
        <f t="shared" si="9"/>
        <v>0</v>
      </c>
    </row>
    <row r="27" spans="1:46" x14ac:dyDescent="0.2">
      <c r="A27" s="31" t="s">
        <v>64</v>
      </c>
      <c r="B27" s="30">
        <v>44743</v>
      </c>
      <c r="C27" s="31">
        <f t="shared" si="0"/>
        <v>3</v>
      </c>
      <c r="D27" s="31">
        <v>25</v>
      </c>
      <c r="E27" s="29">
        <f t="shared" si="19"/>
        <v>115000</v>
      </c>
      <c r="F27" s="36">
        <f t="shared" si="19"/>
        <v>9000</v>
      </c>
      <c r="G27" s="36">
        <v>6.25</v>
      </c>
      <c r="H27" s="36">
        <f t="shared" si="1"/>
        <v>27450</v>
      </c>
      <c r="I27" s="37">
        <f>H27*'Analyzier - Inputs'!$D$4</f>
        <v>1098</v>
      </c>
      <c r="J27" s="36">
        <f t="shared" si="2"/>
        <v>28548</v>
      </c>
      <c r="K27" s="84">
        <f t="shared" si="11"/>
        <v>2.4824347826086959E-4</v>
      </c>
      <c r="L27" s="60">
        <f>'Analyzier - Inputs'!$E$8*K27*'Analyzier - Inputs'!$E$4*'Analyzier - Inputs'!$B$4*'Analyzier - Inputs'!$H$8</f>
        <v>55832.440695652178</v>
      </c>
      <c r="M27" s="61">
        <f>('Analyzier - Inputs'!$F$8/1000)*'Analyzier - Inputs'!$C$22*24*(365/12)*'Analyzier - Inputs'!$B$4*'Analyzier - Inputs'!$H$8</f>
        <v>18972.408000000003</v>
      </c>
      <c r="N27" s="61">
        <f>(L27-M27)*'Analyzier - Inputs'!$F$4*(1-'Analyzier - Inputs'!$I$4)</f>
        <v>33911.230080000001</v>
      </c>
      <c r="O27" s="43">
        <f t="shared" si="12"/>
        <v>238200.75200000018</v>
      </c>
      <c r="P27">
        <f t="shared" si="3"/>
        <v>0</v>
      </c>
      <c r="Q27" s="60">
        <f>'Analyzier - Inputs'!$E$9*K27*'Analyzier - Inputs'!$E$4*'Analyzier - Inputs'!$B$4*'Analyzier - Inputs'!$H$9</f>
        <v>44576.584904347823</v>
      </c>
      <c r="R27" s="61">
        <f>('Analyzier - Inputs'!$F$9/1000)*'Analyzier - Inputs'!$C$22*24*(365/12)*'Analyzier - Inputs'!$B$4*'Analyzier - Inputs'!$H$9</f>
        <v>18934.448</v>
      </c>
      <c r="S27" s="61">
        <f>(Q27-R27)*'Analyzier - Inputs'!$F$4*(1-'Analyzier - Inputs'!$I$4)</f>
        <v>23590.765951999998</v>
      </c>
      <c r="T27" s="61">
        <f t="shared" si="13"/>
        <v>164029.14879999982</v>
      </c>
      <c r="U27">
        <f t="shared" si="4"/>
        <v>0</v>
      </c>
      <c r="V27" s="60">
        <f>'Analyzier - Inputs'!$E$10*K27*'Analyzier - Inputs'!$E$4*'Analyzier - Inputs'!$B$4*'Analyzier - Inputs'!$H$10</f>
        <v>31904.251826086962</v>
      </c>
      <c r="W27" s="61">
        <f>('Analyzier - Inputs'!$F$10/1000)*'Analyzier - Inputs'!$C$22*24*(365/12)*'Analyzier - Inputs'!$B$4*'Analyzier - Inputs'!$H$10</f>
        <v>18972.408000000003</v>
      </c>
      <c r="X27" s="61">
        <f>(V27-W27)*'Analyzier - Inputs'!$F$4*(1-'Analyzier - Inputs'!$I$4)</f>
        <v>11897.296320000003</v>
      </c>
      <c r="Y27" s="61">
        <f t="shared" si="14"/>
        <v>109252.40800000008</v>
      </c>
      <c r="Z27">
        <f t="shared" si="5"/>
        <v>0</v>
      </c>
      <c r="AA27" s="60">
        <f>'Analyzier - Inputs'!$E$11*K27*'Analyzier - Inputs'!$E$4*'Analyzier - Inputs'!$B$4*'Analyzier - Inputs'!$H$11</f>
        <v>64311.196695652179</v>
      </c>
      <c r="AB27" s="61">
        <f>('Analyzier - Inputs'!$F$11/1000)*'Analyzier - Inputs'!$C$22*24*(365/12)*'Analyzier - Inputs'!$B$4*'Analyzier - Inputs'!$H$11</f>
        <v>18978.102000000003</v>
      </c>
      <c r="AC27" s="61">
        <f>(AA27-AB27)*'Analyzier - Inputs'!$F$4*(1-'Analyzier - Inputs'!$I$4)</f>
        <v>41706.447120000004</v>
      </c>
      <c r="AD27" s="61">
        <f t="shared" si="15"/>
        <v>292681.17800000031</v>
      </c>
      <c r="AE27">
        <f t="shared" si="6"/>
        <v>0</v>
      </c>
      <c r="AF27" s="60">
        <f>'Analyzier - Inputs'!$E$12*K27*'Analyzier - Inputs'!$E$4*'Analyzier - Inputs'!$B$4*'Analyzier - Inputs'!$H$12</f>
        <v>46761.624000000011</v>
      </c>
      <c r="AG27" s="61">
        <f>('Analyzier - Inputs'!$F$12/1000)*'Analyzier - Inputs'!$C$22*24*(365/12)*'Analyzier - Inputs'!$B$4*'Analyzier - Inputs'!$H$12</f>
        <v>18945.836000000003</v>
      </c>
      <c r="AH27" s="61">
        <f>(AF27-AG27)*'Analyzier - Inputs'!$F$4*(1-'Analyzier - Inputs'!$I$4)</f>
        <v>25590.52496000001</v>
      </c>
      <c r="AI27" s="61">
        <f t="shared" si="16"/>
        <v>254463.12400000024</v>
      </c>
      <c r="AJ27">
        <f t="shared" si="7"/>
        <v>0</v>
      </c>
      <c r="AK27" s="60">
        <f>'Analyzier - Inputs'!$E$13*K27*'Analyzier - Inputs'!$E$4*'Analyzier - Inputs'!$B$4*'Analyzier - Inputs'!$H$13*'Analyzier - Inputs'!$G$4*'Analyzier - Inputs'!$H$4</f>
        <v>52977.144208695667</v>
      </c>
      <c r="AL27" s="61">
        <f>('Analyzier - Inputs'!$F$12/1000)*'Analyzier - Inputs'!$C$22*24*(365/12)*'Analyzier - Inputs'!$B$4*'Analyzier - Inputs'!$H$12</f>
        <v>18945.836000000003</v>
      </c>
      <c r="AM27" s="61">
        <f>(AK27-AL27)*'Analyzier - Inputs'!$F$4</f>
        <v>34031.308208695664</v>
      </c>
      <c r="AN27" s="61">
        <f t="shared" si="17"/>
        <v>228396.70824069603</v>
      </c>
      <c r="AO27">
        <f t="shared" si="8"/>
        <v>0</v>
      </c>
      <c r="AP27" s="60">
        <f>'Analyzier - Inputs'!$E$14*K27*'Analyzier - Inputs'!$E$4*'Analyzier - Inputs'!$B$4*'Analyzier - Inputs'!$H$14*'Analyzier - Inputs'!$G$4*'Analyzier - Inputs'!$H$4</f>
        <v>65685.224347826093</v>
      </c>
      <c r="AQ27" s="61">
        <f>('Analyzier - Inputs'!$F$12/1000)*'Analyzier - Inputs'!$C$22*24*(365/12)*'Analyzier - Inputs'!$B$4*'Analyzier - Inputs'!$H$12</f>
        <v>18945.836000000003</v>
      </c>
      <c r="AR27" s="61">
        <f>(AP27-AQ27)*'Analyzier - Inputs'!$F$4</f>
        <v>46739.38834782609</v>
      </c>
      <c r="AS27" s="61">
        <f t="shared" si="18"/>
        <v>293082.06530782609</v>
      </c>
      <c r="AT27">
        <f t="shared" si="9"/>
        <v>0</v>
      </c>
    </row>
    <row r="28" spans="1:46" x14ac:dyDescent="0.2">
      <c r="A28" s="31" t="s">
        <v>65</v>
      </c>
      <c r="B28" s="30">
        <v>44774</v>
      </c>
      <c r="C28" s="31">
        <f t="shared" si="0"/>
        <v>3</v>
      </c>
      <c r="D28" s="31">
        <v>26</v>
      </c>
      <c r="E28" s="29">
        <f t="shared" si="19"/>
        <v>115000</v>
      </c>
      <c r="F28" s="36">
        <f t="shared" si="19"/>
        <v>9000</v>
      </c>
      <c r="G28" s="36">
        <v>6.25</v>
      </c>
      <c r="H28" s="36">
        <f t="shared" si="1"/>
        <v>27450</v>
      </c>
      <c r="I28" s="37">
        <f>H28*'Analyzier - Inputs'!$D$4</f>
        <v>1098</v>
      </c>
      <c r="J28" s="36">
        <f t="shared" si="2"/>
        <v>28548</v>
      </c>
      <c r="K28" s="84">
        <f t="shared" si="11"/>
        <v>2.4824347826086959E-4</v>
      </c>
      <c r="L28" s="60">
        <f>'Analyzier - Inputs'!$E$8*K28*'Analyzier - Inputs'!$E$4*'Analyzier - Inputs'!$B$4*'Analyzier - Inputs'!$H$8</f>
        <v>55832.440695652178</v>
      </c>
      <c r="M28" s="61">
        <f>('Analyzier - Inputs'!$F$8/1000)*'Analyzier - Inputs'!$C$22*24*(365/12)*'Analyzier - Inputs'!$B$4*'Analyzier - Inputs'!$H$8</f>
        <v>18972.408000000003</v>
      </c>
      <c r="N28" s="61">
        <f>(L28-M28)*'Analyzier - Inputs'!$F$4*(1-'Analyzier - Inputs'!$I$4)</f>
        <v>33911.230080000001</v>
      </c>
      <c r="O28" s="43">
        <f t="shared" si="12"/>
        <v>272111.98208000016</v>
      </c>
      <c r="P28">
        <f t="shared" si="3"/>
        <v>0</v>
      </c>
      <c r="Q28" s="60">
        <f>'Analyzier - Inputs'!$E$9*K28*'Analyzier - Inputs'!$E$4*'Analyzier - Inputs'!$B$4*'Analyzier - Inputs'!$H$9</f>
        <v>44576.584904347823</v>
      </c>
      <c r="R28" s="61">
        <f>('Analyzier - Inputs'!$F$9/1000)*'Analyzier - Inputs'!$C$22*24*(365/12)*'Analyzier - Inputs'!$B$4*'Analyzier - Inputs'!$H$9</f>
        <v>18934.448</v>
      </c>
      <c r="S28" s="61">
        <f>(Q28-R28)*'Analyzier - Inputs'!$F$4*(1-'Analyzier - Inputs'!$I$4)</f>
        <v>23590.765951999998</v>
      </c>
      <c r="T28" s="61">
        <f t="shared" si="13"/>
        <v>187619.91475199981</v>
      </c>
      <c r="U28">
        <f t="shared" si="4"/>
        <v>0</v>
      </c>
      <c r="V28" s="60">
        <f>'Analyzier - Inputs'!$E$10*K28*'Analyzier - Inputs'!$E$4*'Analyzier - Inputs'!$B$4*'Analyzier - Inputs'!$H$10</f>
        <v>31904.251826086962</v>
      </c>
      <c r="W28" s="61">
        <f>('Analyzier - Inputs'!$F$10/1000)*'Analyzier - Inputs'!$C$22*24*(365/12)*'Analyzier - Inputs'!$B$4*'Analyzier - Inputs'!$H$10</f>
        <v>18972.408000000003</v>
      </c>
      <c r="X28" s="61">
        <f>(V28-W28)*'Analyzier - Inputs'!$F$4*(1-'Analyzier - Inputs'!$I$4)</f>
        <v>11897.296320000003</v>
      </c>
      <c r="Y28" s="61">
        <f t="shared" si="14"/>
        <v>121149.70432000009</v>
      </c>
      <c r="Z28">
        <f t="shared" si="5"/>
        <v>0</v>
      </c>
      <c r="AA28" s="60">
        <f>'Analyzier - Inputs'!$E$11*K28*'Analyzier - Inputs'!$E$4*'Analyzier - Inputs'!$B$4*'Analyzier - Inputs'!$H$11</f>
        <v>64311.196695652179</v>
      </c>
      <c r="AB28" s="61">
        <f>('Analyzier - Inputs'!$F$11/1000)*'Analyzier - Inputs'!$C$22*24*(365/12)*'Analyzier - Inputs'!$B$4*'Analyzier - Inputs'!$H$11</f>
        <v>18978.102000000003</v>
      </c>
      <c r="AC28" s="61">
        <f>(AA28-AB28)*'Analyzier - Inputs'!$F$4*(1-'Analyzier - Inputs'!$I$4)</f>
        <v>41706.447120000004</v>
      </c>
      <c r="AD28" s="61">
        <f t="shared" si="15"/>
        <v>334387.62512000033</v>
      </c>
      <c r="AE28">
        <f t="shared" si="6"/>
        <v>0</v>
      </c>
      <c r="AF28" s="60">
        <f>'Analyzier - Inputs'!$E$12*K28*'Analyzier - Inputs'!$E$4*'Analyzier - Inputs'!$B$4*'Analyzier - Inputs'!$H$12</f>
        <v>46761.624000000011</v>
      </c>
      <c r="AG28" s="61">
        <f>('Analyzier - Inputs'!$F$12/1000)*'Analyzier - Inputs'!$C$22*24*(365/12)*'Analyzier - Inputs'!$B$4*'Analyzier - Inputs'!$H$12</f>
        <v>18945.836000000003</v>
      </c>
      <c r="AH28" s="61">
        <f>(AF28-AG28)*'Analyzier - Inputs'!$F$4*(1-'Analyzier - Inputs'!$I$4)</f>
        <v>25590.52496000001</v>
      </c>
      <c r="AI28" s="61">
        <f t="shared" si="16"/>
        <v>280053.64896000025</v>
      </c>
      <c r="AJ28">
        <f t="shared" si="7"/>
        <v>0</v>
      </c>
      <c r="AK28" s="60">
        <f>'Analyzier - Inputs'!$E$13*K28*'Analyzier - Inputs'!$E$4*'Analyzier - Inputs'!$B$4*'Analyzier - Inputs'!$H$13*'Analyzier - Inputs'!$G$4*'Analyzier - Inputs'!$H$4</f>
        <v>52977.144208695667</v>
      </c>
      <c r="AL28" s="61">
        <f>('Analyzier - Inputs'!$F$12/1000)*'Analyzier - Inputs'!$C$22*24*(365/12)*'Analyzier - Inputs'!$B$4*'Analyzier - Inputs'!$H$12</f>
        <v>18945.836000000003</v>
      </c>
      <c r="AM28" s="61">
        <f>(AK28-AL28)*'Analyzier - Inputs'!$F$4</f>
        <v>34031.308208695664</v>
      </c>
      <c r="AN28" s="61">
        <f t="shared" si="17"/>
        <v>262428.01644939167</v>
      </c>
      <c r="AO28">
        <f t="shared" si="8"/>
        <v>0</v>
      </c>
      <c r="AP28" s="60">
        <f>'Analyzier - Inputs'!$E$14*K28*'Analyzier - Inputs'!$E$4*'Analyzier - Inputs'!$B$4*'Analyzier - Inputs'!$H$14*'Analyzier - Inputs'!$G$4*'Analyzier - Inputs'!$H$4</f>
        <v>65685.224347826093</v>
      </c>
      <c r="AQ28" s="61">
        <f>('Analyzier - Inputs'!$F$12/1000)*'Analyzier - Inputs'!$C$22*24*(365/12)*'Analyzier - Inputs'!$B$4*'Analyzier - Inputs'!$H$12</f>
        <v>18945.836000000003</v>
      </c>
      <c r="AR28" s="61">
        <f>(AP28-AQ28)*'Analyzier - Inputs'!$F$4</f>
        <v>46739.38834782609</v>
      </c>
      <c r="AS28" s="61">
        <f t="shared" si="18"/>
        <v>339821.45365565218</v>
      </c>
      <c r="AT28">
        <f t="shared" si="9"/>
        <v>0</v>
      </c>
    </row>
    <row r="29" spans="1:46" x14ac:dyDescent="0.2">
      <c r="A29" s="31" t="s">
        <v>66</v>
      </c>
      <c r="B29" s="30">
        <v>44805</v>
      </c>
      <c r="C29" s="31">
        <f t="shared" si="0"/>
        <v>3</v>
      </c>
      <c r="D29" s="31">
        <v>27</v>
      </c>
      <c r="E29" s="29">
        <f t="shared" si="19"/>
        <v>115000</v>
      </c>
      <c r="F29" s="36">
        <f t="shared" si="19"/>
        <v>9000</v>
      </c>
      <c r="G29" s="36">
        <v>6.25</v>
      </c>
      <c r="H29" s="36">
        <f t="shared" si="1"/>
        <v>27450</v>
      </c>
      <c r="I29" s="37">
        <f>H29*'Analyzier - Inputs'!$D$4</f>
        <v>1098</v>
      </c>
      <c r="J29" s="36">
        <f t="shared" si="2"/>
        <v>28548</v>
      </c>
      <c r="K29" s="84">
        <f t="shared" si="11"/>
        <v>2.4824347826086959E-4</v>
      </c>
      <c r="L29" s="60">
        <f>'Analyzier - Inputs'!$E$8*K29*'Analyzier - Inputs'!$E$4*'Analyzier - Inputs'!$B$4*'Analyzier - Inputs'!$H$8</f>
        <v>55832.440695652178</v>
      </c>
      <c r="M29" s="61">
        <f>('Analyzier - Inputs'!$F$8/1000)*'Analyzier - Inputs'!$C$22*24*(365/12)*'Analyzier - Inputs'!$B$4*'Analyzier - Inputs'!$H$8</f>
        <v>18972.408000000003</v>
      </c>
      <c r="N29" s="61">
        <f>(L29-M29)*'Analyzier - Inputs'!$F$4*(1-'Analyzier - Inputs'!$I$4)</f>
        <v>33911.230080000001</v>
      </c>
      <c r="O29" s="43">
        <f t="shared" si="12"/>
        <v>306023.21216000017</v>
      </c>
      <c r="P29">
        <f t="shared" si="3"/>
        <v>0</v>
      </c>
      <c r="Q29" s="60">
        <f>'Analyzier - Inputs'!$E$9*K29*'Analyzier - Inputs'!$E$4*'Analyzier - Inputs'!$B$4*'Analyzier - Inputs'!$H$9</f>
        <v>44576.584904347823</v>
      </c>
      <c r="R29" s="61">
        <f>('Analyzier - Inputs'!$F$9/1000)*'Analyzier - Inputs'!$C$22*24*(365/12)*'Analyzier - Inputs'!$B$4*'Analyzier - Inputs'!$H$9</f>
        <v>18934.448</v>
      </c>
      <c r="S29" s="61">
        <f>(Q29-R29)*'Analyzier - Inputs'!$F$4*(1-'Analyzier - Inputs'!$I$4)</f>
        <v>23590.765951999998</v>
      </c>
      <c r="T29" s="61">
        <f t="shared" si="13"/>
        <v>211210.68070399979</v>
      </c>
      <c r="U29">
        <f t="shared" si="4"/>
        <v>0</v>
      </c>
      <c r="V29" s="60">
        <f>'Analyzier - Inputs'!$E$10*K29*'Analyzier - Inputs'!$E$4*'Analyzier - Inputs'!$B$4*'Analyzier - Inputs'!$H$10</f>
        <v>31904.251826086962</v>
      </c>
      <c r="W29" s="61">
        <f>('Analyzier - Inputs'!$F$10/1000)*'Analyzier - Inputs'!$C$22*24*(365/12)*'Analyzier - Inputs'!$B$4*'Analyzier - Inputs'!$H$10</f>
        <v>18972.408000000003</v>
      </c>
      <c r="X29" s="61">
        <f>(V29-W29)*'Analyzier - Inputs'!$F$4*(1-'Analyzier - Inputs'!$I$4)</f>
        <v>11897.296320000003</v>
      </c>
      <c r="Y29" s="61">
        <f t="shared" si="14"/>
        <v>133047.0006400001</v>
      </c>
      <c r="Z29">
        <f t="shared" si="5"/>
        <v>0</v>
      </c>
      <c r="AA29" s="60">
        <f>'Analyzier - Inputs'!$E$11*K29*'Analyzier - Inputs'!$E$4*'Analyzier - Inputs'!$B$4*'Analyzier - Inputs'!$H$11</f>
        <v>64311.196695652179</v>
      </c>
      <c r="AB29" s="61">
        <f>('Analyzier - Inputs'!$F$11/1000)*'Analyzier - Inputs'!$C$22*24*(365/12)*'Analyzier - Inputs'!$B$4*'Analyzier - Inputs'!$H$11</f>
        <v>18978.102000000003</v>
      </c>
      <c r="AC29" s="61">
        <f>(AA29-AB29)*'Analyzier - Inputs'!$F$4*(1-'Analyzier - Inputs'!$I$4)</f>
        <v>41706.447120000004</v>
      </c>
      <c r="AD29" s="61">
        <f t="shared" si="15"/>
        <v>376094.07224000036</v>
      </c>
      <c r="AE29">
        <f t="shared" si="6"/>
        <v>0</v>
      </c>
      <c r="AF29" s="60">
        <f>'Analyzier - Inputs'!$E$12*K29*'Analyzier - Inputs'!$E$4*'Analyzier - Inputs'!$B$4*'Analyzier - Inputs'!$H$12</f>
        <v>46761.624000000011</v>
      </c>
      <c r="AG29" s="61">
        <f>('Analyzier - Inputs'!$F$12/1000)*'Analyzier - Inputs'!$C$22*24*(365/12)*'Analyzier - Inputs'!$B$4*'Analyzier - Inputs'!$H$12</f>
        <v>18945.836000000003</v>
      </c>
      <c r="AH29" s="61">
        <f>(AF29-AG29)*'Analyzier - Inputs'!$F$4*(1-'Analyzier - Inputs'!$I$4)</f>
        <v>25590.52496000001</v>
      </c>
      <c r="AI29" s="61">
        <f t="shared" si="16"/>
        <v>305644.17392000026</v>
      </c>
      <c r="AJ29">
        <f t="shared" si="7"/>
        <v>0</v>
      </c>
      <c r="AK29" s="60">
        <f>'Analyzier - Inputs'!$E$13*K29*'Analyzier - Inputs'!$E$4*'Analyzier - Inputs'!$B$4*'Analyzier - Inputs'!$H$13*'Analyzier - Inputs'!$G$4*'Analyzier - Inputs'!$H$4</f>
        <v>52977.144208695667</v>
      </c>
      <c r="AL29" s="61">
        <f>('Analyzier - Inputs'!$F$12/1000)*'Analyzier - Inputs'!$C$22*24*(365/12)*'Analyzier - Inputs'!$B$4*'Analyzier - Inputs'!$H$12</f>
        <v>18945.836000000003</v>
      </c>
      <c r="AM29" s="61">
        <f>(AK29-AL29)*'Analyzier - Inputs'!$F$4</f>
        <v>34031.308208695664</v>
      </c>
      <c r="AN29" s="61">
        <f t="shared" si="17"/>
        <v>296459.32465808734</v>
      </c>
      <c r="AO29">
        <f t="shared" si="8"/>
        <v>0</v>
      </c>
      <c r="AP29" s="60">
        <f>'Analyzier - Inputs'!$E$14*K29*'Analyzier - Inputs'!$E$4*'Analyzier - Inputs'!$B$4*'Analyzier - Inputs'!$H$14*'Analyzier - Inputs'!$G$4*'Analyzier - Inputs'!$H$4</f>
        <v>65685.224347826093</v>
      </c>
      <c r="AQ29" s="61">
        <f>('Analyzier - Inputs'!$F$12/1000)*'Analyzier - Inputs'!$C$22*24*(365/12)*'Analyzier - Inputs'!$B$4*'Analyzier - Inputs'!$H$12</f>
        <v>18945.836000000003</v>
      </c>
      <c r="AR29" s="61">
        <f>(AP29-AQ29)*'Analyzier - Inputs'!$F$4</f>
        <v>46739.38834782609</v>
      </c>
      <c r="AS29" s="61">
        <f t="shared" si="18"/>
        <v>386560.84200347826</v>
      </c>
      <c r="AT29">
        <f t="shared" si="9"/>
        <v>0</v>
      </c>
    </row>
    <row r="30" spans="1:46" x14ac:dyDescent="0.2">
      <c r="A30" s="31" t="s">
        <v>67</v>
      </c>
      <c r="B30" s="30">
        <v>44835</v>
      </c>
      <c r="C30" s="31">
        <f t="shared" si="0"/>
        <v>3</v>
      </c>
      <c r="D30" s="31">
        <v>28</v>
      </c>
      <c r="E30" s="29">
        <f t="shared" si="19"/>
        <v>115000</v>
      </c>
      <c r="F30" s="36">
        <f t="shared" si="19"/>
        <v>9000</v>
      </c>
      <c r="G30" s="36">
        <v>6.25</v>
      </c>
      <c r="H30" s="36">
        <f t="shared" si="1"/>
        <v>27450</v>
      </c>
      <c r="I30" s="37">
        <f>H30*'Analyzier - Inputs'!$D$4</f>
        <v>1098</v>
      </c>
      <c r="J30" s="36">
        <f t="shared" si="2"/>
        <v>28548</v>
      </c>
      <c r="K30" s="84">
        <f t="shared" si="11"/>
        <v>2.4824347826086959E-4</v>
      </c>
      <c r="L30" s="60">
        <f>'Analyzier - Inputs'!$E$8*K30*'Analyzier - Inputs'!$E$4*'Analyzier - Inputs'!$B$4*'Analyzier - Inputs'!$H$8</f>
        <v>55832.440695652178</v>
      </c>
      <c r="M30" s="61">
        <f>('Analyzier - Inputs'!$F$8/1000)*'Analyzier - Inputs'!$C$22*24*(365/12)*'Analyzier - Inputs'!$B$4*'Analyzier - Inputs'!$H$8</f>
        <v>18972.408000000003</v>
      </c>
      <c r="N30" s="61">
        <f>(L30-M30)*'Analyzier - Inputs'!$F$4*(1-'Analyzier - Inputs'!$I$4)</f>
        <v>33911.230080000001</v>
      </c>
      <c r="O30" s="43">
        <f t="shared" si="12"/>
        <v>339934.44224000018</v>
      </c>
      <c r="P30">
        <f t="shared" si="3"/>
        <v>0</v>
      </c>
      <c r="Q30" s="60">
        <f>'Analyzier - Inputs'!$E$9*K30*'Analyzier - Inputs'!$E$4*'Analyzier - Inputs'!$B$4*'Analyzier - Inputs'!$H$9</f>
        <v>44576.584904347823</v>
      </c>
      <c r="R30" s="61">
        <f>('Analyzier - Inputs'!$F$9/1000)*'Analyzier - Inputs'!$C$22*24*(365/12)*'Analyzier - Inputs'!$B$4*'Analyzier - Inputs'!$H$9</f>
        <v>18934.448</v>
      </c>
      <c r="S30" s="61">
        <f>(Q30-R30)*'Analyzier - Inputs'!$F$4*(1-'Analyzier - Inputs'!$I$4)</f>
        <v>23590.765951999998</v>
      </c>
      <c r="T30" s="61">
        <f t="shared" si="13"/>
        <v>234801.44665599978</v>
      </c>
      <c r="U30">
        <f t="shared" si="4"/>
        <v>0</v>
      </c>
      <c r="V30" s="60">
        <f>'Analyzier - Inputs'!$E$10*K30*'Analyzier - Inputs'!$E$4*'Analyzier - Inputs'!$B$4*'Analyzier - Inputs'!$H$10</f>
        <v>31904.251826086962</v>
      </c>
      <c r="W30" s="61">
        <f>('Analyzier - Inputs'!$F$10/1000)*'Analyzier - Inputs'!$C$22*24*(365/12)*'Analyzier - Inputs'!$B$4*'Analyzier - Inputs'!$H$10</f>
        <v>18972.408000000003</v>
      </c>
      <c r="X30" s="61">
        <f>(V30-W30)*'Analyzier - Inputs'!$F$4*(1-'Analyzier - Inputs'!$I$4)</f>
        <v>11897.296320000003</v>
      </c>
      <c r="Y30" s="61">
        <f t="shared" si="14"/>
        <v>144944.29696000009</v>
      </c>
      <c r="Z30">
        <f t="shared" si="5"/>
        <v>0</v>
      </c>
      <c r="AA30" s="60">
        <f>'Analyzier - Inputs'!$E$11*K30*'Analyzier - Inputs'!$E$4*'Analyzier - Inputs'!$B$4*'Analyzier - Inputs'!$H$11</f>
        <v>64311.196695652179</v>
      </c>
      <c r="AB30" s="61">
        <f>('Analyzier - Inputs'!$F$11/1000)*'Analyzier - Inputs'!$C$22*24*(365/12)*'Analyzier - Inputs'!$B$4*'Analyzier - Inputs'!$H$11</f>
        <v>18978.102000000003</v>
      </c>
      <c r="AC30" s="61">
        <f>(AA30-AB30)*'Analyzier - Inputs'!$F$4*(1-'Analyzier - Inputs'!$I$4)</f>
        <v>41706.447120000004</v>
      </c>
      <c r="AD30" s="61">
        <f t="shared" si="15"/>
        <v>417800.51936000038</v>
      </c>
      <c r="AE30">
        <f t="shared" si="6"/>
        <v>0</v>
      </c>
      <c r="AF30" s="60">
        <f>'Analyzier - Inputs'!$E$12*K30*'Analyzier - Inputs'!$E$4*'Analyzier - Inputs'!$B$4*'Analyzier - Inputs'!$H$12</f>
        <v>46761.624000000011</v>
      </c>
      <c r="AG30" s="61">
        <f>('Analyzier - Inputs'!$F$12/1000)*'Analyzier - Inputs'!$C$22*24*(365/12)*'Analyzier - Inputs'!$B$4*'Analyzier - Inputs'!$H$12</f>
        <v>18945.836000000003</v>
      </c>
      <c r="AH30" s="61">
        <f>(AF30-AG30)*'Analyzier - Inputs'!$F$4*(1-'Analyzier - Inputs'!$I$4)</f>
        <v>25590.52496000001</v>
      </c>
      <c r="AI30" s="61">
        <f t="shared" si="16"/>
        <v>331234.69888000027</v>
      </c>
      <c r="AJ30">
        <f t="shared" si="7"/>
        <v>0</v>
      </c>
      <c r="AK30" s="60">
        <f>'Analyzier - Inputs'!$E$13*K30*'Analyzier - Inputs'!$E$4*'Analyzier - Inputs'!$B$4*'Analyzier - Inputs'!$H$13*'Analyzier - Inputs'!$G$4*'Analyzier - Inputs'!$H$4</f>
        <v>52977.144208695667</v>
      </c>
      <c r="AL30" s="61">
        <f>('Analyzier - Inputs'!$F$12/1000)*'Analyzier - Inputs'!$C$22*24*(365/12)*'Analyzier - Inputs'!$B$4*'Analyzier - Inputs'!$H$12</f>
        <v>18945.836000000003</v>
      </c>
      <c r="AM30" s="61">
        <f>(AK30-AL30)*'Analyzier - Inputs'!$F$4</f>
        <v>34031.308208695664</v>
      </c>
      <c r="AN30" s="61">
        <f t="shared" si="17"/>
        <v>330490.63286678301</v>
      </c>
      <c r="AO30">
        <f t="shared" si="8"/>
        <v>0</v>
      </c>
      <c r="AP30" s="60">
        <f>'Analyzier - Inputs'!$E$14*K30*'Analyzier - Inputs'!$E$4*'Analyzier - Inputs'!$B$4*'Analyzier - Inputs'!$H$14*'Analyzier - Inputs'!$G$4*'Analyzier - Inputs'!$H$4</f>
        <v>65685.224347826093</v>
      </c>
      <c r="AQ30" s="61">
        <f>('Analyzier - Inputs'!$F$12/1000)*'Analyzier - Inputs'!$C$22*24*(365/12)*'Analyzier - Inputs'!$B$4*'Analyzier - Inputs'!$H$12</f>
        <v>18945.836000000003</v>
      </c>
      <c r="AR30" s="61">
        <f>(AP30-AQ30)*'Analyzier - Inputs'!$F$4</f>
        <v>46739.38834782609</v>
      </c>
      <c r="AS30" s="61">
        <f t="shared" si="18"/>
        <v>433300.23035130434</v>
      </c>
      <c r="AT30">
        <f t="shared" si="9"/>
        <v>0</v>
      </c>
    </row>
    <row r="31" spans="1:46" x14ac:dyDescent="0.2">
      <c r="A31" s="31" t="s">
        <v>68</v>
      </c>
      <c r="B31" s="30">
        <v>44866</v>
      </c>
      <c r="C31" s="31">
        <f t="shared" si="0"/>
        <v>3</v>
      </c>
      <c r="D31" s="31">
        <v>29</v>
      </c>
      <c r="E31" s="29">
        <f t="shared" si="19"/>
        <v>115000</v>
      </c>
      <c r="F31" s="36">
        <f t="shared" si="19"/>
        <v>9000</v>
      </c>
      <c r="G31" s="36">
        <v>6.25</v>
      </c>
      <c r="H31" s="36">
        <f t="shared" si="1"/>
        <v>27450</v>
      </c>
      <c r="I31" s="37">
        <f>H31*'Analyzier - Inputs'!$D$4</f>
        <v>1098</v>
      </c>
      <c r="J31" s="36">
        <f t="shared" si="2"/>
        <v>28548</v>
      </c>
      <c r="K31" s="84">
        <f t="shared" si="11"/>
        <v>2.4824347826086959E-4</v>
      </c>
      <c r="L31" s="60">
        <f>'Analyzier - Inputs'!$E$8*K31*'Analyzier - Inputs'!$E$4*'Analyzier - Inputs'!$B$4*'Analyzier - Inputs'!$H$8</f>
        <v>55832.440695652178</v>
      </c>
      <c r="M31" s="61">
        <f>('Analyzier - Inputs'!$F$8/1000)*'Analyzier - Inputs'!$C$22*24*(365/12)*'Analyzier - Inputs'!$B$4*'Analyzier - Inputs'!$H$8</f>
        <v>18972.408000000003</v>
      </c>
      <c r="N31" s="61">
        <f>(L31-M31)*'Analyzier - Inputs'!$F$4*(1-'Analyzier - Inputs'!$I$4)</f>
        <v>33911.230080000001</v>
      </c>
      <c r="O31" s="43">
        <f t="shared" si="12"/>
        <v>373845.67232000019</v>
      </c>
      <c r="P31">
        <f t="shared" si="3"/>
        <v>0</v>
      </c>
      <c r="Q31" s="60">
        <f>'Analyzier - Inputs'!$E$9*K31*'Analyzier - Inputs'!$E$4*'Analyzier - Inputs'!$B$4*'Analyzier - Inputs'!$H$9</f>
        <v>44576.584904347823</v>
      </c>
      <c r="R31" s="61">
        <f>('Analyzier - Inputs'!$F$9/1000)*'Analyzier - Inputs'!$C$22*24*(365/12)*'Analyzier - Inputs'!$B$4*'Analyzier - Inputs'!$H$9</f>
        <v>18934.448</v>
      </c>
      <c r="S31" s="61">
        <f>(Q31-R31)*'Analyzier - Inputs'!$F$4*(1-'Analyzier - Inputs'!$I$4)</f>
        <v>23590.765951999998</v>
      </c>
      <c r="T31" s="61">
        <f t="shared" si="13"/>
        <v>258392.21260799977</v>
      </c>
      <c r="U31">
        <f t="shared" si="4"/>
        <v>0</v>
      </c>
      <c r="V31" s="60">
        <f>'Analyzier - Inputs'!$E$10*K31*'Analyzier - Inputs'!$E$4*'Analyzier - Inputs'!$B$4*'Analyzier - Inputs'!$H$10</f>
        <v>31904.251826086962</v>
      </c>
      <c r="W31" s="61">
        <f>('Analyzier - Inputs'!$F$10/1000)*'Analyzier - Inputs'!$C$22*24*(365/12)*'Analyzier - Inputs'!$B$4*'Analyzier - Inputs'!$H$10</f>
        <v>18972.408000000003</v>
      </c>
      <c r="X31" s="61">
        <f>(V31-W31)*'Analyzier - Inputs'!$F$4*(1-'Analyzier - Inputs'!$I$4)</f>
        <v>11897.296320000003</v>
      </c>
      <c r="Y31" s="61">
        <f t="shared" si="14"/>
        <v>156841.59328000009</v>
      </c>
      <c r="Z31">
        <f t="shared" si="5"/>
        <v>0</v>
      </c>
      <c r="AA31" s="60">
        <f>'Analyzier - Inputs'!$E$11*K31*'Analyzier - Inputs'!$E$4*'Analyzier - Inputs'!$B$4*'Analyzier - Inputs'!$H$11</f>
        <v>64311.196695652179</v>
      </c>
      <c r="AB31" s="61">
        <f>('Analyzier - Inputs'!$F$11/1000)*'Analyzier - Inputs'!$C$22*24*(365/12)*'Analyzier - Inputs'!$B$4*'Analyzier - Inputs'!$H$11</f>
        <v>18978.102000000003</v>
      </c>
      <c r="AC31" s="61">
        <f>(AA31-AB31)*'Analyzier - Inputs'!$F$4*(1-'Analyzier - Inputs'!$I$4)</f>
        <v>41706.447120000004</v>
      </c>
      <c r="AD31" s="61">
        <f t="shared" si="15"/>
        <v>459506.96648000041</v>
      </c>
      <c r="AE31">
        <f t="shared" si="6"/>
        <v>0</v>
      </c>
      <c r="AF31" s="60">
        <f>'Analyzier - Inputs'!$E$12*K31*'Analyzier - Inputs'!$E$4*'Analyzier - Inputs'!$B$4*'Analyzier - Inputs'!$H$12</f>
        <v>46761.624000000011</v>
      </c>
      <c r="AG31" s="61">
        <f>('Analyzier - Inputs'!$F$12/1000)*'Analyzier - Inputs'!$C$22*24*(365/12)*'Analyzier - Inputs'!$B$4*'Analyzier - Inputs'!$H$12</f>
        <v>18945.836000000003</v>
      </c>
      <c r="AH31" s="61">
        <f>(AF31-AG31)*'Analyzier - Inputs'!$F$4*(1-'Analyzier - Inputs'!$I$4)</f>
        <v>25590.52496000001</v>
      </c>
      <c r="AI31" s="61">
        <f t="shared" si="16"/>
        <v>356825.22384000028</v>
      </c>
      <c r="AJ31">
        <f t="shared" si="7"/>
        <v>0</v>
      </c>
      <c r="AK31" s="60">
        <f>'Analyzier - Inputs'!$E$13*K31*'Analyzier - Inputs'!$E$4*'Analyzier - Inputs'!$B$4*'Analyzier - Inputs'!$H$13*'Analyzier - Inputs'!$G$4*'Analyzier - Inputs'!$H$4</f>
        <v>52977.144208695667</v>
      </c>
      <c r="AL31" s="61">
        <f>('Analyzier - Inputs'!$F$12/1000)*'Analyzier - Inputs'!$C$22*24*(365/12)*'Analyzier - Inputs'!$B$4*'Analyzier - Inputs'!$H$12</f>
        <v>18945.836000000003</v>
      </c>
      <c r="AM31" s="61">
        <f>(AK31-AL31)*'Analyzier - Inputs'!$F$4</f>
        <v>34031.308208695664</v>
      </c>
      <c r="AN31" s="61">
        <f t="shared" si="17"/>
        <v>364521.94107547868</v>
      </c>
      <c r="AO31">
        <f t="shared" si="8"/>
        <v>0</v>
      </c>
      <c r="AP31" s="60">
        <f>'Analyzier - Inputs'!$E$14*K31*'Analyzier - Inputs'!$E$4*'Analyzier - Inputs'!$B$4*'Analyzier - Inputs'!$H$14*'Analyzier - Inputs'!$G$4*'Analyzier - Inputs'!$H$4</f>
        <v>65685.224347826093</v>
      </c>
      <c r="AQ31" s="61">
        <f>('Analyzier - Inputs'!$F$12/1000)*'Analyzier - Inputs'!$C$22*24*(365/12)*'Analyzier - Inputs'!$B$4*'Analyzier - Inputs'!$H$12</f>
        <v>18945.836000000003</v>
      </c>
      <c r="AR31" s="61">
        <f>(AP31-AQ31)*'Analyzier - Inputs'!$F$4</f>
        <v>46739.38834782609</v>
      </c>
      <c r="AS31" s="61">
        <f t="shared" si="18"/>
        <v>480039.61869913043</v>
      </c>
      <c r="AT31">
        <f t="shared" si="9"/>
        <v>0</v>
      </c>
    </row>
    <row r="32" spans="1:46" x14ac:dyDescent="0.2">
      <c r="A32" s="31" t="s">
        <v>69</v>
      </c>
      <c r="B32" s="30">
        <v>44896</v>
      </c>
      <c r="C32" s="31">
        <f t="shared" si="0"/>
        <v>3</v>
      </c>
      <c r="D32" s="31">
        <v>30</v>
      </c>
      <c r="E32" s="29">
        <f t="shared" si="19"/>
        <v>115000</v>
      </c>
      <c r="F32" s="36">
        <f t="shared" si="19"/>
        <v>9000</v>
      </c>
      <c r="G32" s="36">
        <v>6.25</v>
      </c>
      <c r="H32" s="36">
        <f t="shared" si="1"/>
        <v>27450</v>
      </c>
      <c r="I32" s="37">
        <f>H32*'Analyzier - Inputs'!$D$4</f>
        <v>1098</v>
      </c>
      <c r="J32" s="36">
        <f t="shared" si="2"/>
        <v>28548</v>
      </c>
      <c r="K32" s="84">
        <f t="shared" si="11"/>
        <v>2.4824347826086959E-4</v>
      </c>
      <c r="L32" s="60">
        <f>'Analyzier - Inputs'!$E$8*K32*'Analyzier - Inputs'!$E$4*'Analyzier - Inputs'!$B$4*'Analyzier - Inputs'!$H$8</f>
        <v>55832.440695652178</v>
      </c>
      <c r="M32" s="61">
        <f>('Analyzier - Inputs'!$F$8/1000)*'Analyzier - Inputs'!$C$22*24*(365/12)*'Analyzier - Inputs'!$B$4*'Analyzier - Inputs'!$H$8</f>
        <v>18972.408000000003</v>
      </c>
      <c r="N32" s="61">
        <f>(L32-M32)*'Analyzier - Inputs'!$F$4*(1-'Analyzier - Inputs'!$I$4)</f>
        <v>33911.230080000001</v>
      </c>
      <c r="O32" s="43">
        <f t="shared" si="12"/>
        <v>407756.9024000002</v>
      </c>
      <c r="P32">
        <f t="shared" si="3"/>
        <v>0</v>
      </c>
      <c r="Q32" s="60">
        <f>'Analyzier - Inputs'!$E$9*K32*'Analyzier - Inputs'!$E$4*'Analyzier - Inputs'!$B$4*'Analyzier - Inputs'!$H$9</f>
        <v>44576.584904347823</v>
      </c>
      <c r="R32" s="61">
        <f>('Analyzier - Inputs'!$F$9/1000)*'Analyzier - Inputs'!$C$22*24*(365/12)*'Analyzier - Inputs'!$B$4*'Analyzier - Inputs'!$H$9</f>
        <v>18934.448</v>
      </c>
      <c r="S32" s="61">
        <f>(Q32-R32)*'Analyzier - Inputs'!$F$4*(1-'Analyzier - Inputs'!$I$4)</f>
        <v>23590.765951999998</v>
      </c>
      <c r="T32" s="61">
        <f t="shared" si="13"/>
        <v>281982.97855999978</v>
      </c>
      <c r="U32">
        <f t="shared" si="4"/>
        <v>0</v>
      </c>
      <c r="V32" s="60">
        <f>'Analyzier - Inputs'!$E$10*K32*'Analyzier - Inputs'!$E$4*'Analyzier - Inputs'!$B$4*'Analyzier - Inputs'!$H$10</f>
        <v>31904.251826086962</v>
      </c>
      <c r="W32" s="61">
        <f>('Analyzier - Inputs'!$F$10/1000)*'Analyzier - Inputs'!$C$22*24*(365/12)*'Analyzier - Inputs'!$B$4*'Analyzier - Inputs'!$H$10</f>
        <v>18972.408000000003</v>
      </c>
      <c r="X32" s="61">
        <f>(V32-W32)*'Analyzier - Inputs'!$F$4*(1-'Analyzier - Inputs'!$I$4)</f>
        <v>11897.296320000003</v>
      </c>
      <c r="Y32" s="61">
        <f t="shared" si="14"/>
        <v>168738.88960000008</v>
      </c>
      <c r="Z32">
        <f t="shared" si="5"/>
        <v>0</v>
      </c>
      <c r="AA32" s="60">
        <f>'Analyzier - Inputs'!$E$11*K32*'Analyzier - Inputs'!$E$4*'Analyzier - Inputs'!$B$4*'Analyzier - Inputs'!$H$11</f>
        <v>64311.196695652179</v>
      </c>
      <c r="AB32" s="61">
        <f>('Analyzier - Inputs'!$F$11/1000)*'Analyzier - Inputs'!$C$22*24*(365/12)*'Analyzier - Inputs'!$B$4*'Analyzier - Inputs'!$H$11</f>
        <v>18978.102000000003</v>
      </c>
      <c r="AC32" s="61">
        <f>(AA32-AB32)*'Analyzier - Inputs'!$F$4*(1-'Analyzier - Inputs'!$I$4)</f>
        <v>41706.447120000004</v>
      </c>
      <c r="AD32" s="61">
        <f t="shared" si="15"/>
        <v>501213.41360000044</v>
      </c>
      <c r="AE32">
        <f t="shared" si="6"/>
        <v>0</v>
      </c>
      <c r="AF32" s="60">
        <f>'Analyzier - Inputs'!$E$12*K32*'Analyzier - Inputs'!$E$4*'Analyzier - Inputs'!$B$4*'Analyzier - Inputs'!$H$12</f>
        <v>46761.624000000011</v>
      </c>
      <c r="AG32" s="61">
        <f>('Analyzier - Inputs'!$F$12/1000)*'Analyzier - Inputs'!$C$22*24*(365/12)*'Analyzier - Inputs'!$B$4*'Analyzier - Inputs'!$H$12</f>
        <v>18945.836000000003</v>
      </c>
      <c r="AH32" s="61">
        <f>(AF32-AG32)*'Analyzier - Inputs'!$F$4*(1-'Analyzier - Inputs'!$I$4)</f>
        <v>25590.52496000001</v>
      </c>
      <c r="AI32" s="61">
        <f t="shared" si="16"/>
        <v>382415.74880000029</v>
      </c>
      <c r="AJ32">
        <f t="shared" si="7"/>
        <v>0</v>
      </c>
      <c r="AK32" s="60">
        <f>'Analyzier - Inputs'!$E$13*K32*'Analyzier - Inputs'!$E$4*'Analyzier - Inputs'!$B$4*'Analyzier - Inputs'!$H$13*'Analyzier - Inputs'!$G$4*'Analyzier - Inputs'!$H$4</f>
        <v>52977.144208695667</v>
      </c>
      <c r="AL32" s="61">
        <f>('Analyzier - Inputs'!$F$12/1000)*'Analyzier - Inputs'!$C$22*24*(365/12)*'Analyzier - Inputs'!$B$4*'Analyzier - Inputs'!$H$12</f>
        <v>18945.836000000003</v>
      </c>
      <c r="AM32" s="61">
        <f>(AK32-AL32)*'Analyzier - Inputs'!$F$4</f>
        <v>34031.308208695664</v>
      </c>
      <c r="AN32" s="61">
        <f t="shared" si="17"/>
        <v>398553.24928417435</v>
      </c>
      <c r="AO32">
        <f t="shared" si="8"/>
        <v>0</v>
      </c>
      <c r="AP32" s="60">
        <f>'Analyzier - Inputs'!$E$14*K32*'Analyzier - Inputs'!$E$4*'Analyzier - Inputs'!$B$4*'Analyzier - Inputs'!$H$14*'Analyzier - Inputs'!$G$4*'Analyzier - Inputs'!$H$4</f>
        <v>65685.224347826093</v>
      </c>
      <c r="AQ32" s="61">
        <f>('Analyzier - Inputs'!$F$12/1000)*'Analyzier - Inputs'!$C$22*24*(365/12)*'Analyzier - Inputs'!$B$4*'Analyzier - Inputs'!$H$12</f>
        <v>18945.836000000003</v>
      </c>
      <c r="AR32" s="61">
        <f>(AP32-AQ32)*'Analyzier - Inputs'!$F$4</f>
        <v>46739.38834782609</v>
      </c>
      <c r="AS32" s="61">
        <f t="shared" si="18"/>
        <v>526779.00704695657</v>
      </c>
      <c r="AT32">
        <f t="shared" si="9"/>
        <v>0</v>
      </c>
    </row>
    <row r="33" spans="1:46" x14ac:dyDescent="0.2">
      <c r="A33" s="31" t="s">
        <v>70</v>
      </c>
      <c r="B33" s="30">
        <v>44927</v>
      </c>
      <c r="C33" s="31">
        <f t="shared" si="0"/>
        <v>3</v>
      </c>
      <c r="D33" s="31">
        <v>31</v>
      </c>
      <c r="E33" s="29">
        <f t="shared" si="19"/>
        <v>115000</v>
      </c>
      <c r="F33" s="36">
        <f t="shared" si="19"/>
        <v>9000</v>
      </c>
      <c r="G33" s="36">
        <v>6.25</v>
      </c>
      <c r="H33" s="36">
        <f t="shared" si="1"/>
        <v>27450</v>
      </c>
      <c r="I33" s="37">
        <f>H33*'Analyzier - Inputs'!$D$4</f>
        <v>1098</v>
      </c>
      <c r="J33" s="36">
        <f t="shared" si="2"/>
        <v>28548</v>
      </c>
      <c r="K33" s="84">
        <f t="shared" si="11"/>
        <v>2.4824347826086959E-4</v>
      </c>
      <c r="L33" s="60">
        <f>'Analyzier - Inputs'!$E$8*K33*'Analyzier - Inputs'!$E$4*'Analyzier - Inputs'!$B$4*'Analyzier - Inputs'!$H$8</f>
        <v>55832.440695652178</v>
      </c>
      <c r="M33" s="61">
        <f>('Analyzier - Inputs'!$F$8/1000)*'Analyzier - Inputs'!$C$22*24*(365/12)*'Analyzier - Inputs'!$B$4*'Analyzier - Inputs'!$H$8</f>
        <v>18972.408000000003</v>
      </c>
      <c r="N33" s="61">
        <f>(L33-M33)*'Analyzier - Inputs'!$F$4*(1-'Analyzier - Inputs'!$I$4)</f>
        <v>33911.230080000001</v>
      </c>
      <c r="O33" s="43">
        <f t="shared" si="12"/>
        <v>441668.1324800002</v>
      </c>
      <c r="P33">
        <f t="shared" si="3"/>
        <v>0</v>
      </c>
      <c r="Q33" s="60">
        <f>'Analyzier - Inputs'!$E$9*K33*'Analyzier - Inputs'!$E$4*'Analyzier - Inputs'!$B$4*'Analyzier - Inputs'!$H$9</f>
        <v>44576.584904347823</v>
      </c>
      <c r="R33" s="61">
        <f>('Analyzier - Inputs'!$F$9/1000)*'Analyzier - Inputs'!$C$22*24*(365/12)*'Analyzier - Inputs'!$B$4*'Analyzier - Inputs'!$H$9</f>
        <v>18934.448</v>
      </c>
      <c r="S33" s="61">
        <f>(Q33-R33)*'Analyzier - Inputs'!$F$4*(1-'Analyzier - Inputs'!$I$4)</f>
        <v>23590.765951999998</v>
      </c>
      <c r="T33" s="61">
        <f t="shared" si="13"/>
        <v>305573.74451199977</v>
      </c>
      <c r="U33">
        <f t="shared" si="4"/>
        <v>0</v>
      </c>
      <c r="V33" s="60">
        <f>'Analyzier - Inputs'!$E$10*K33*'Analyzier - Inputs'!$E$4*'Analyzier - Inputs'!$B$4*'Analyzier - Inputs'!$H$10</f>
        <v>31904.251826086962</v>
      </c>
      <c r="W33" s="61">
        <f>('Analyzier - Inputs'!$F$10/1000)*'Analyzier - Inputs'!$C$22*24*(365/12)*'Analyzier - Inputs'!$B$4*'Analyzier - Inputs'!$H$10</f>
        <v>18972.408000000003</v>
      </c>
      <c r="X33" s="61">
        <f>(V33-W33)*'Analyzier - Inputs'!$F$4*(1-'Analyzier - Inputs'!$I$4)</f>
        <v>11897.296320000003</v>
      </c>
      <c r="Y33" s="61">
        <f t="shared" si="14"/>
        <v>180636.18592000008</v>
      </c>
      <c r="Z33">
        <f t="shared" si="5"/>
        <v>0</v>
      </c>
      <c r="AA33" s="60">
        <f>'Analyzier - Inputs'!$E$11*K33*'Analyzier - Inputs'!$E$4*'Analyzier - Inputs'!$B$4*'Analyzier - Inputs'!$H$11</f>
        <v>64311.196695652179</v>
      </c>
      <c r="AB33" s="61">
        <f>('Analyzier - Inputs'!$F$11/1000)*'Analyzier - Inputs'!$C$22*24*(365/12)*'Analyzier - Inputs'!$B$4*'Analyzier - Inputs'!$H$11</f>
        <v>18978.102000000003</v>
      </c>
      <c r="AC33" s="61">
        <f>(AA33-AB33)*'Analyzier - Inputs'!$F$4*(1-'Analyzier - Inputs'!$I$4)</f>
        <v>41706.447120000004</v>
      </c>
      <c r="AD33" s="61">
        <f t="shared" si="15"/>
        <v>542919.86072000046</v>
      </c>
      <c r="AE33">
        <f t="shared" si="6"/>
        <v>0</v>
      </c>
      <c r="AF33" s="60">
        <f>'Analyzier - Inputs'!$E$12*K33*'Analyzier - Inputs'!$E$4*'Analyzier - Inputs'!$B$4*'Analyzier - Inputs'!$H$12</f>
        <v>46761.624000000011</v>
      </c>
      <c r="AG33" s="61">
        <f>('Analyzier - Inputs'!$F$12/1000)*'Analyzier - Inputs'!$C$22*24*(365/12)*'Analyzier - Inputs'!$B$4*'Analyzier - Inputs'!$H$12</f>
        <v>18945.836000000003</v>
      </c>
      <c r="AH33" s="61">
        <f>(AF33-AG33)*'Analyzier - Inputs'!$F$4*(1-'Analyzier - Inputs'!$I$4)</f>
        <v>25590.52496000001</v>
      </c>
      <c r="AI33" s="61">
        <f t="shared" si="16"/>
        <v>408006.2737600003</v>
      </c>
      <c r="AJ33">
        <f t="shared" si="7"/>
        <v>0</v>
      </c>
      <c r="AK33" s="60">
        <f>'Analyzier - Inputs'!$E$13*K33*'Analyzier - Inputs'!$E$4*'Analyzier - Inputs'!$B$4*'Analyzier - Inputs'!$H$13*'Analyzier - Inputs'!$G$4*'Analyzier - Inputs'!$H$4</f>
        <v>52977.144208695667</v>
      </c>
      <c r="AL33" s="61">
        <f>('Analyzier - Inputs'!$F$12/1000)*'Analyzier - Inputs'!$C$22*24*(365/12)*'Analyzier - Inputs'!$B$4*'Analyzier - Inputs'!$H$12</f>
        <v>18945.836000000003</v>
      </c>
      <c r="AM33" s="61">
        <f>(AK33-AL33)*'Analyzier - Inputs'!$F$4</f>
        <v>34031.308208695664</v>
      </c>
      <c r="AN33" s="61">
        <f t="shared" si="17"/>
        <v>432584.55749287002</v>
      </c>
      <c r="AO33">
        <f t="shared" si="8"/>
        <v>0</v>
      </c>
      <c r="AP33" s="60">
        <f>'Analyzier - Inputs'!$E$14*K33*'Analyzier - Inputs'!$E$4*'Analyzier - Inputs'!$B$4*'Analyzier - Inputs'!$H$14*'Analyzier - Inputs'!$G$4*'Analyzier - Inputs'!$H$4</f>
        <v>65685.224347826093</v>
      </c>
      <c r="AQ33" s="61">
        <f>('Analyzier - Inputs'!$F$12/1000)*'Analyzier - Inputs'!$C$22*24*(365/12)*'Analyzier - Inputs'!$B$4*'Analyzier - Inputs'!$H$12</f>
        <v>18945.836000000003</v>
      </c>
      <c r="AR33" s="61">
        <f>(AP33-AQ33)*'Analyzier - Inputs'!$F$4</f>
        <v>46739.38834782609</v>
      </c>
      <c r="AS33" s="61">
        <f t="shared" si="18"/>
        <v>573518.39539478265</v>
      </c>
      <c r="AT33">
        <f t="shared" si="9"/>
        <v>0</v>
      </c>
    </row>
    <row r="34" spans="1:46" x14ac:dyDescent="0.2">
      <c r="A34" s="31" t="s">
        <v>71</v>
      </c>
      <c r="B34" s="30">
        <v>44958</v>
      </c>
      <c r="C34" s="31">
        <f t="shared" si="0"/>
        <v>3</v>
      </c>
      <c r="D34" s="31">
        <v>32</v>
      </c>
      <c r="E34" s="29">
        <f t="shared" si="19"/>
        <v>115000</v>
      </c>
      <c r="F34" s="36">
        <f t="shared" si="19"/>
        <v>9000</v>
      </c>
      <c r="G34" s="36">
        <v>6.25</v>
      </c>
      <c r="H34" s="36">
        <f t="shared" si="1"/>
        <v>27450</v>
      </c>
      <c r="I34" s="37">
        <f>H34*'Analyzier - Inputs'!$D$4</f>
        <v>1098</v>
      </c>
      <c r="J34" s="36">
        <f t="shared" si="2"/>
        <v>28548</v>
      </c>
      <c r="K34" s="84">
        <f t="shared" si="11"/>
        <v>2.4824347826086959E-4</v>
      </c>
      <c r="L34" s="60">
        <f>'Analyzier - Inputs'!$E$8*K34*'Analyzier - Inputs'!$E$4*'Analyzier - Inputs'!$B$4*'Analyzier - Inputs'!$H$8</f>
        <v>55832.440695652178</v>
      </c>
      <c r="M34" s="61">
        <f>('Analyzier - Inputs'!$F$8/1000)*'Analyzier - Inputs'!$C$22*24*(365/12)*'Analyzier - Inputs'!$B$4*'Analyzier - Inputs'!$H$8</f>
        <v>18972.408000000003</v>
      </c>
      <c r="N34" s="61">
        <f>(L34-M34)*'Analyzier - Inputs'!$F$4*(1-'Analyzier - Inputs'!$I$4)</f>
        <v>33911.230080000001</v>
      </c>
      <c r="O34" s="43">
        <f t="shared" si="12"/>
        <v>475579.36256000021</v>
      </c>
      <c r="P34">
        <f t="shared" si="3"/>
        <v>0</v>
      </c>
      <c r="Q34" s="60">
        <f>'Analyzier - Inputs'!$E$9*K34*'Analyzier - Inputs'!$E$4*'Analyzier - Inputs'!$B$4*'Analyzier - Inputs'!$H$9</f>
        <v>44576.584904347823</v>
      </c>
      <c r="R34" s="61">
        <f>('Analyzier - Inputs'!$F$9/1000)*'Analyzier - Inputs'!$C$22*24*(365/12)*'Analyzier - Inputs'!$B$4*'Analyzier - Inputs'!$H$9</f>
        <v>18934.448</v>
      </c>
      <c r="S34" s="61">
        <f>(Q34-R34)*'Analyzier - Inputs'!$F$4*(1-'Analyzier - Inputs'!$I$4)</f>
        <v>23590.765951999998</v>
      </c>
      <c r="T34" s="61">
        <f t="shared" si="13"/>
        <v>329164.51046399976</v>
      </c>
      <c r="U34">
        <f t="shared" si="4"/>
        <v>0</v>
      </c>
      <c r="V34" s="60">
        <f>'Analyzier - Inputs'!$E$10*K34*'Analyzier - Inputs'!$E$4*'Analyzier - Inputs'!$B$4*'Analyzier - Inputs'!$H$10</f>
        <v>31904.251826086962</v>
      </c>
      <c r="W34" s="61">
        <f>('Analyzier - Inputs'!$F$10/1000)*'Analyzier - Inputs'!$C$22*24*(365/12)*'Analyzier - Inputs'!$B$4*'Analyzier - Inputs'!$H$10</f>
        <v>18972.408000000003</v>
      </c>
      <c r="X34" s="61">
        <f>(V34-W34)*'Analyzier - Inputs'!$F$4*(1-'Analyzier - Inputs'!$I$4)</f>
        <v>11897.296320000003</v>
      </c>
      <c r="Y34" s="61">
        <f t="shared" si="14"/>
        <v>192533.48224000007</v>
      </c>
      <c r="Z34">
        <f t="shared" si="5"/>
        <v>0</v>
      </c>
      <c r="AA34" s="60">
        <f>'Analyzier - Inputs'!$E$11*K34*'Analyzier - Inputs'!$E$4*'Analyzier - Inputs'!$B$4*'Analyzier - Inputs'!$H$11</f>
        <v>64311.196695652179</v>
      </c>
      <c r="AB34" s="61">
        <f>('Analyzier - Inputs'!$F$11/1000)*'Analyzier - Inputs'!$C$22*24*(365/12)*'Analyzier - Inputs'!$B$4*'Analyzier - Inputs'!$H$11</f>
        <v>18978.102000000003</v>
      </c>
      <c r="AC34" s="61">
        <f>(AA34-AB34)*'Analyzier - Inputs'!$F$4*(1-'Analyzier - Inputs'!$I$4)</f>
        <v>41706.447120000004</v>
      </c>
      <c r="AD34" s="61">
        <f t="shared" si="15"/>
        <v>584626.30784000049</v>
      </c>
      <c r="AE34">
        <f t="shared" si="6"/>
        <v>0</v>
      </c>
      <c r="AF34" s="60">
        <f>'Analyzier - Inputs'!$E$12*K34*'Analyzier - Inputs'!$E$4*'Analyzier - Inputs'!$B$4*'Analyzier - Inputs'!$H$12</f>
        <v>46761.624000000011</v>
      </c>
      <c r="AG34" s="61">
        <f>('Analyzier - Inputs'!$F$12/1000)*'Analyzier - Inputs'!$C$22*24*(365/12)*'Analyzier - Inputs'!$B$4*'Analyzier - Inputs'!$H$12</f>
        <v>18945.836000000003</v>
      </c>
      <c r="AH34" s="61">
        <f>(AF34-AG34)*'Analyzier - Inputs'!$F$4*(1-'Analyzier - Inputs'!$I$4)</f>
        <v>25590.52496000001</v>
      </c>
      <c r="AI34" s="61">
        <f t="shared" si="16"/>
        <v>433596.79872000031</v>
      </c>
      <c r="AJ34">
        <f t="shared" si="7"/>
        <v>0</v>
      </c>
      <c r="AK34" s="60">
        <f>'Analyzier - Inputs'!$E$13*K34*'Analyzier - Inputs'!$E$4*'Analyzier - Inputs'!$B$4*'Analyzier - Inputs'!$H$13*'Analyzier - Inputs'!$G$4*'Analyzier - Inputs'!$H$4</f>
        <v>52977.144208695667</v>
      </c>
      <c r="AL34" s="61">
        <f>('Analyzier - Inputs'!$F$12/1000)*'Analyzier - Inputs'!$C$22*24*(365/12)*'Analyzier - Inputs'!$B$4*'Analyzier - Inputs'!$H$12</f>
        <v>18945.836000000003</v>
      </c>
      <c r="AM34" s="61">
        <f>(AK34-AL34)*'Analyzier - Inputs'!$F$4</f>
        <v>34031.308208695664</v>
      </c>
      <c r="AN34" s="61">
        <f t="shared" si="17"/>
        <v>466615.86570156569</v>
      </c>
      <c r="AO34">
        <f t="shared" si="8"/>
        <v>0</v>
      </c>
      <c r="AP34" s="60">
        <f>'Analyzier - Inputs'!$E$14*K34*'Analyzier - Inputs'!$E$4*'Analyzier - Inputs'!$B$4*'Analyzier - Inputs'!$H$14*'Analyzier - Inputs'!$G$4*'Analyzier - Inputs'!$H$4</f>
        <v>65685.224347826093</v>
      </c>
      <c r="AQ34" s="61">
        <f>('Analyzier - Inputs'!$F$12/1000)*'Analyzier - Inputs'!$C$22*24*(365/12)*'Analyzier - Inputs'!$B$4*'Analyzier - Inputs'!$H$12</f>
        <v>18945.836000000003</v>
      </c>
      <c r="AR34" s="61">
        <f>(AP34-AQ34)*'Analyzier - Inputs'!$F$4</f>
        <v>46739.38834782609</v>
      </c>
      <c r="AS34" s="61">
        <f t="shared" si="18"/>
        <v>620257.78374260874</v>
      </c>
      <c r="AT34">
        <f t="shared" si="9"/>
        <v>0</v>
      </c>
    </row>
    <row r="35" spans="1:46" x14ac:dyDescent="0.2">
      <c r="A35" s="31" t="s">
        <v>72</v>
      </c>
      <c r="B35" s="30">
        <v>44986</v>
      </c>
      <c r="C35" s="31">
        <f t="shared" si="0"/>
        <v>3</v>
      </c>
      <c r="D35" s="31">
        <v>33</v>
      </c>
      <c r="E35" s="29">
        <f t="shared" si="19"/>
        <v>115000</v>
      </c>
      <c r="F35" s="36">
        <f t="shared" si="19"/>
        <v>9000</v>
      </c>
      <c r="G35" s="36">
        <v>6.25</v>
      </c>
      <c r="H35" s="36">
        <f t="shared" si="1"/>
        <v>27450</v>
      </c>
      <c r="I35" s="37">
        <f>H35*'Analyzier - Inputs'!$D$4</f>
        <v>1098</v>
      </c>
      <c r="J35" s="36">
        <f t="shared" si="2"/>
        <v>28548</v>
      </c>
      <c r="K35" s="84">
        <f t="shared" si="11"/>
        <v>2.4824347826086959E-4</v>
      </c>
      <c r="L35" s="60">
        <f>'Analyzier - Inputs'!$E$8*K35*'Analyzier - Inputs'!$E$4*'Analyzier - Inputs'!$B$4*'Analyzier - Inputs'!$H$8</f>
        <v>55832.440695652178</v>
      </c>
      <c r="M35" s="61">
        <f>('Analyzier - Inputs'!$F$8/1000)*'Analyzier - Inputs'!$C$22*24*(365/12)*'Analyzier - Inputs'!$B$4*'Analyzier - Inputs'!$H$8</f>
        <v>18972.408000000003</v>
      </c>
      <c r="N35" s="61">
        <f>(L35-M35)*'Analyzier - Inputs'!$F$4*(1-'Analyzier - Inputs'!$I$4)</f>
        <v>33911.230080000001</v>
      </c>
      <c r="O35" s="43">
        <f t="shared" si="12"/>
        <v>509490.59264000022</v>
      </c>
      <c r="P35">
        <f t="shared" si="3"/>
        <v>0</v>
      </c>
      <c r="Q35" s="60">
        <f>'Analyzier - Inputs'!$E$9*K35*'Analyzier - Inputs'!$E$4*'Analyzier - Inputs'!$B$4*'Analyzier - Inputs'!$H$9</f>
        <v>44576.584904347823</v>
      </c>
      <c r="R35" s="61">
        <f>('Analyzier - Inputs'!$F$9/1000)*'Analyzier - Inputs'!$C$22*24*(365/12)*'Analyzier - Inputs'!$B$4*'Analyzier - Inputs'!$H$9</f>
        <v>18934.448</v>
      </c>
      <c r="S35" s="61">
        <f>(Q35-R35)*'Analyzier - Inputs'!$F$4*(1-'Analyzier - Inputs'!$I$4)</f>
        <v>23590.765951999998</v>
      </c>
      <c r="T35" s="61">
        <f t="shared" si="13"/>
        <v>352755.27641599975</v>
      </c>
      <c r="U35">
        <f t="shared" si="4"/>
        <v>0</v>
      </c>
      <c r="V35" s="60">
        <f>'Analyzier - Inputs'!$E$10*K35*'Analyzier - Inputs'!$E$4*'Analyzier - Inputs'!$B$4*'Analyzier - Inputs'!$H$10</f>
        <v>31904.251826086962</v>
      </c>
      <c r="W35" s="61">
        <f>('Analyzier - Inputs'!$F$10/1000)*'Analyzier - Inputs'!$C$22*24*(365/12)*'Analyzier - Inputs'!$B$4*'Analyzier - Inputs'!$H$10</f>
        <v>18972.408000000003</v>
      </c>
      <c r="X35" s="61">
        <f>(V35-W35)*'Analyzier - Inputs'!$F$4*(1-'Analyzier - Inputs'!$I$4)</f>
        <v>11897.296320000003</v>
      </c>
      <c r="Y35" s="61">
        <f t="shared" si="14"/>
        <v>204430.77856000006</v>
      </c>
      <c r="Z35">
        <f t="shared" si="5"/>
        <v>0</v>
      </c>
      <c r="AA35" s="60">
        <f>'Analyzier - Inputs'!$E$11*K35*'Analyzier - Inputs'!$E$4*'Analyzier - Inputs'!$B$4*'Analyzier - Inputs'!$H$11</f>
        <v>64311.196695652179</v>
      </c>
      <c r="AB35" s="61">
        <f>('Analyzier - Inputs'!$F$11/1000)*'Analyzier - Inputs'!$C$22*24*(365/12)*'Analyzier - Inputs'!$B$4*'Analyzier - Inputs'!$H$11</f>
        <v>18978.102000000003</v>
      </c>
      <c r="AC35" s="61">
        <f>(AA35-AB35)*'Analyzier - Inputs'!$F$4*(1-'Analyzier - Inputs'!$I$4)</f>
        <v>41706.447120000004</v>
      </c>
      <c r="AD35" s="61">
        <f t="shared" si="15"/>
        <v>626332.75496000051</v>
      </c>
      <c r="AE35">
        <f t="shared" si="6"/>
        <v>0</v>
      </c>
      <c r="AF35" s="60">
        <f>'Analyzier - Inputs'!$E$12*K35*'Analyzier - Inputs'!$E$4*'Analyzier - Inputs'!$B$4*'Analyzier - Inputs'!$H$12</f>
        <v>46761.624000000011</v>
      </c>
      <c r="AG35" s="61">
        <f>('Analyzier - Inputs'!$F$12/1000)*'Analyzier - Inputs'!$C$22*24*(365/12)*'Analyzier - Inputs'!$B$4*'Analyzier - Inputs'!$H$12</f>
        <v>18945.836000000003</v>
      </c>
      <c r="AH35" s="61">
        <f>(AF35-AG35)*'Analyzier - Inputs'!$F$4*(1-'Analyzier - Inputs'!$I$4)</f>
        <v>25590.52496000001</v>
      </c>
      <c r="AI35" s="61">
        <f t="shared" si="16"/>
        <v>459187.32368000032</v>
      </c>
      <c r="AJ35">
        <f t="shared" si="7"/>
        <v>0</v>
      </c>
      <c r="AK35" s="60">
        <f>'Analyzier - Inputs'!$E$13*K35*'Analyzier - Inputs'!$E$4*'Analyzier - Inputs'!$B$4*'Analyzier - Inputs'!$H$13*'Analyzier - Inputs'!$G$4*'Analyzier - Inputs'!$H$4</f>
        <v>52977.144208695667</v>
      </c>
      <c r="AL35" s="61">
        <f>('Analyzier - Inputs'!$F$12/1000)*'Analyzier - Inputs'!$C$22*24*(365/12)*'Analyzier - Inputs'!$B$4*'Analyzier - Inputs'!$H$12</f>
        <v>18945.836000000003</v>
      </c>
      <c r="AM35" s="61">
        <f>(AK35-AL35)*'Analyzier - Inputs'!$F$4</f>
        <v>34031.308208695664</v>
      </c>
      <c r="AN35" s="61">
        <f t="shared" si="17"/>
        <v>500647.17391026136</v>
      </c>
      <c r="AO35">
        <f t="shared" si="8"/>
        <v>0</v>
      </c>
      <c r="AP35" s="60">
        <f>'Analyzier - Inputs'!$E$14*K35*'Analyzier - Inputs'!$E$4*'Analyzier - Inputs'!$B$4*'Analyzier - Inputs'!$H$14*'Analyzier - Inputs'!$G$4*'Analyzier - Inputs'!$H$4</f>
        <v>65685.224347826093</v>
      </c>
      <c r="AQ35" s="61">
        <f>('Analyzier - Inputs'!$F$12/1000)*'Analyzier - Inputs'!$C$22*24*(365/12)*'Analyzier - Inputs'!$B$4*'Analyzier - Inputs'!$H$12</f>
        <v>18945.836000000003</v>
      </c>
      <c r="AR35" s="61">
        <f>(AP35-AQ35)*'Analyzier - Inputs'!$F$4</f>
        <v>46739.38834782609</v>
      </c>
      <c r="AS35" s="61">
        <f t="shared" si="18"/>
        <v>666997.17209043482</v>
      </c>
      <c r="AT35">
        <f t="shared" si="9"/>
        <v>0</v>
      </c>
    </row>
    <row r="36" spans="1:46" x14ac:dyDescent="0.2">
      <c r="A36" s="31" t="s">
        <v>73</v>
      </c>
      <c r="B36" s="30">
        <v>45017</v>
      </c>
      <c r="C36" s="31">
        <f t="shared" si="0"/>
        <v>3</v>
      </c>
      <c r="D36" s="31">
        <v>34</v>
      </c>
      <c r="E36" s="29">
        <f t="shared" si="19"/>
        <v>115000</v>
      </c>
      <c r="F36" s="36">
        <f t="shared" si="19"/>
        <v>9000</v>
      </c>
      <c r="G36" s="36">
        <v>6.25</v>
      </c>
      <c r="H36" s="36">
        <f t="shared" si="1"/>
        <v>27450</v>
      </c>
      <c r="I36" s="37">
        <f>H36*'Analyzier - Inputs'!$D$4</f>
        <v>1098</v>
      </c>
      <c r="J36" s="36">
        <f t="shared" si="2"/>
        <v>28548</v>
      </c>
      <c r="K36" s="84">
        <f t="shared" si="11"/>
        <v>2.4824347826086959E-4</v>
      </c>
      <c r="L36" s="60">
        <f>'Analyzier - Inputs'!$E$8*K36*'Analyzier - Inputs'!$E$4*'Analyzier - Inputs'!$B$4*'Analyzier - Inputs'!$H$8</f>
        <v>55832.440695652178</v>
      </c>
      <c r="M36" s="61">
        <f>('Analyzier - Inputs'!$F$8/1000)*'Analyzier - Inputs'!$C$22*24*(365/12)*'Analyzier - Inputs'!$B$4*'Analyzier - Inputs'!$H$8</f>
        <v>18972.408000000003</v>
      </c>
      <c r="N36" s="61">
        <f>(L36-M36)*'Analyzier - Inputs'!$F$4*(1-'Analyzier - Inputs'!$I$4)</f>
        <v>33911.230080000001</v>
      </c>
      <c r="O36" s="43">
        <f t="shared" si="12"/>
        <v>543401.82272000017</v>
      </c>
      <c r="P36">
        <f t="shared" si="3"/>
        <v>0</v>
      </c>
      <c r="Q36" s="60">
        <f>'Analyzier - Inputs'!$E$9*K36*'Analyzier - Inputs'!$E$4*'Analyzier - Inputs'!$B$4*'Analyzier - Inputs'!$H$9</f>
        <v>44576.584904347823</v>
      </c>
      <c r="R36" s="61">
        <f>('Analyzier - Inputs'!$F$9/1000)*'Analyzier - Inputs'!$C$22*24*(365/12)*'Analyzier - Inputs'!$B$4*'Analyzier - Inputs'!$H$9</f>
        <v>18934.448</v>
      </c>
      <c r="S36" s="61">
        <f>(Q36-R36)*'Analyzier - Inputs'!$F$4*(1-'Analyzier - Inputs'!$I$4)</f>
        <v>23590.765951999998</v>
      </c>
      <c r="T36" s="61">
        <f t="shared" si="13"/>
        <v>376346.04236799973</v>
      </c>
      <c r="U36">
        <f t="shared" si="4"/>
        <v>0</v>
      </c>
      <c r="V36" s="60">
        <f>'Analyzier - Inputs'!$E$10*K36*'Analyzier - Inputs'!$E$4*'Analyzier - Inputs'!$B$4*'Analyzier - Inputs'!$H$10</f>
        <v>31904.251826086962</v>
      </c>
      <c r="W36" s="61">
        <f>('Analyzier - Inputs'!$F$10/1000)*'Analyzier - Inputs'!$C$22*24*(365/12)*'Analyzier - Inputs'!$B$4*'Analyzier - Inputs'!$H$10</f>
        <v>18972.408000000003</v>
      </c>
      <c r="X36" s="61">
        <f>(V36-W36)*'Analyzier - Inputs'!$F$4*(1-'Analyzier - Inputs'!$I$4)</f>
        <v>11897.296320000003</v>
      </c>
      <c r="Y36" s="61">
        <f t="shared" si="14"/>
        <v>216328.07488000006</v>
      </c>
      <c r="Z36">
        <f t="shared" si="5"/>
        <v>0</v>
      </c>
      <c r="AA36" s="60">
        <f>'Analyzier - Inputs'!$E$11*K36*'Analyzier - Inputs'!$E$4*'Analyzier - Inputs'!$B$4*'Analyzier - Inputs'!$H$11</f>
        <v>64311.196695652179</v>
      </c>
      <c r="AB36" s="61">
        <f>('Analyzier - Inputs'!$F$11/1000)*'Analyzier - Inputs'!$C$22*24*(365/12)*'Analyzier - Inputs'!$B$4*'Analyzier - Inputs'!$H$11</f>
        <v>18978.102000000003</v>
      </c>
      <c r="AC36" s="61">
        <f>(AA36-AB36)*'Analyzier - Inputs'!$F$4*(1-'Analyzier - Inputs'!$I$4)</f>
        <v>41706.447120000004</v>
      </c>
      <c r="AD36" s="61">
        <f t="shared" si="15"/>
        <v>668039.20208000054</v>
      </c>
      <c r="AE36">
        <f t="shared" si="6"/>
        <v>0</v>
      </c>
      <c r="AF36" s="60">
        <f>'Analyzier - Inputs'!$E$12*K36*'Analyzier - Inputs'!$E$4*'Analyzier - Inputs'!$B$4*'Analyzier - Inputs'!$H$12</f>
        <v>46761.624000000011</v>
      </c>
      <c r="AG36" s="61">
        <f>('Analyzier - Inputs'!$F$12/1000)*'Analyzier - Inputs'!$C$22*24*(365/12)*'Analyzier - Inputs'!$B$4*'Analyzier - Inputs'!$H$12</f>
        <v>18945.836000000003</v>
      </c>
      <c r="AH36" s="61">
        <f>(AF36-AG36)*'Analyzier - Inputs'!$F$4*(1-'Analyzier - Inputs'!$I$4)</f>
        <v>25590.52496000001</v>
      </c>
      <c r="AI36" s="61">
        <f t="shared" si="16"/>
        <v>484777.84864000033</v>
      </c>
      <c r="AJ36">
        <f t="shared" si="7"/>
        <v>0</v>
      </c>
      <c r="AK36" s="60">
        <f>'Analyzier - Inputs'!$E$13*K36*'Analyzier - Inputs'!$E$4*'Analyzier - Inputs'!$B$4*'Analyzier - Inputs'!$H$13*'Analyzier - Inputs'!$G$4*'Analyzier - Inputs'!$H$4</f>
        <v>52977.144208695667</v>
      </c>
      <c r="AL36" s="61">
        <f>('Analyzier - Inputs'!$F$12/1000)*'Analyzier - Inputs'!$C$22*24*(365/12)*'Analyzier - Inputs'!$B$4*'Analyzier - Inputs'!$H$12</f>
        <v>18945.836000000003</v>
      </c>
      <c r="AM36" s="61">
        <f>(AK36-AL36)*'Analyzier - Inputs'!$F$4</f>
        <v>34031.308208695664</v>
      </c>
      <c r="AN36" s="61">
        <f t="shared" si="17"/>
        <v>534678.48211895698</v>
      </c>
      <c r="AO36">
        <f t="shared" si="8"/>
        <v>0</v>
      </c>
      <c r="AP36" s="60">
        <f>'Analyzier - Inputs'!$E$14*K36*'Analyzier - Inputs'!$E$4*'Analyzier - Inputs'!$B$4*'Analyzier - Inputs'!$H$14*'Analyzier - Inputs'!$G$4*'Analyzier - Inputs'!$H$4</f>
        <v>65685.224347826093</v>
      </c>
      <c r="AQ36" s="61">
        <f>('Analyzier - Inputs'!$F$12/1000)*'Analyzier - Inputs'!$C$22*24*(365/12)*'Analyzier - Inputs'!$B$4*'Analyzier - Inputs'!$H$12</f>
        <v>18945.836000000003</v>
      </c>
      <c r="AR36" s="61">
        <f>(AP36-AQ36)*'Analyzier - Inputs'!$F$4</f>
        <v>46739.38834782609</v>
      </c>
      <c r="AS36" s="61">
        <f t="shared" si="18"/>
        <v>713736.5604382609</v>
      </c>
      <c r="AT36">
        <f t="shared" si="9"/>
        <v>0</v>
      </c>
    </row>
    <row r="37" spans="1:46" x14ac:dyDescent="0.2">
      <c r="A37" s="31" t="s">
        <v>74</v>
      </c>
      <c r="B37" s="30">
        <v>45047</v>
      </c>
      <c r="C37" s="31">
        <f t="shared" si="0"/>
        <v>3</v>
      </c>
      <c r="D37" s="31">
        <v>35</v>
      </c>
      <c r="E37" s="29">
        <f t="shared" ref="E37:F52" si="20">E36</f>
        <v>115000</v>
      </c>
      <c r="F37" s="36">
        <f t="shared" si="20"/>
        <v>9000</v>
      </c>
      <c r="G37" s="36">
        <v>6.25</v>
      </c>
      <c r="H37" s="36">
        <f t="shared" si="1"/>
        <v>27450</v>
      </c>
      <c r="I37" s="37">
        <f>H37*'Analyzier - Inputs'!$D$4</f>
        <v>1098</v>
      </c>
      <c r="J37" s="36">
        <f t="shared" si="2"/>
        <v>28548</v>
      </c>
      <c r="K37" s="84">
        <f t="shared" si="11"/>
        <v>2.4824347826086959E-4</v>
      </c>
      <c r="L37" s="60">
        <f>'Analyzier - Inputs'!$E$8*K37*'Analyzier - Inputs'!$E$4*'Analyzier - Inputs'!$B$4*'Analyzier - Inputs'!$H$8</f>
        <v>55832.440695652178</v>
      </c>
      <c r="M37" s="61">
        <f>('Analyzier - Inputs'!$F$8/1000)*'Analyzier - Inputs'!$C$22*24*(365/12)*'Analyzier - Inputs'!$B$4*'Analyzier - Inputs'!$H$8</f>
        <v>18972.408000000003</v>
      </c>
      <c r="N37" s="61">
        <f>(L37-M37)*'Analyzier - Inputs'!$F$4*(1-'Analyzier - Inputs'!$I$4)</f>
        <v>33911.230080000001</v>
      </c>
      <c r="O37" s="43">
        <f t="shared" si="12"/>
        <v>577313.05280000018</v>
      </c>
      <c r="P37">
        <f t="shared" si="3"/>
        <v>0</v>
      </c>
      <c r="Q37" s="60">
        <f>'Analyzier - Inputs'!$E$9*K37*'Analyzier - Inputs'!$E$4*'Analyzier - Inputs'!$B$4*'Analyzier - Inputs'!$H$9</f>
        <v>44576.584904347823</v>
      </c>
      <c r="R37" s="61">
        <f>('Analyzier - Inputs'!$F$9/1000)*'Analyzier - Inputs'!$C$22*24*(365/12)*'Analyzier - Inputs'!$B$4*'Analyzier - Inputs'!$H$9</f>
        <v>18934.448</v>
      </c>
      <c r="S37" s="61">
        <f>(Q37-R37)*'Analyzier - Inputs'!$F$4*(1-'Analyzier - Inputs'!$I$4)</f>
        <v>23590.765951999998</v>
      </c>
      <c r="T37" s="61">
        <f t="shared" si="13"/>
        <v>399936.80831999972</v>
      </c>
      <c r="U37">
        <f t="shared" si="4"/>
        <v>0</v>
      </c>
      <c r="V37" s="60">
        <f>'Analyzier - Inputs'!$E$10*K37*'Analyzier - Inputs'!$E$4*'Analyzier - Inputs'!$B$4*'Analyzier - Inputs'!$H$10</f>
        <v>31904.251826086962</v>
      </c>
      <c r="W37" s="61">
        <f>('Analyzier - Inputs'!$F$10/1000)*'Analyzier - Inputs'!$C$22*24*(365/12)*'Analyzier - Inputs'!$B$4*'Analyzier - Inputs'!$H$10</f>
        <v>18972.408000000003</v>
      </c>
      <c r="X37" s="61">
        <f>(V37-W37)*'Analyzier - Inputs'!$F$4*(1-'Analyzier - Inputs'!$I$4)</f>
        <v>11897.296320000003</v>
      </c>
      <c r="Y37" s="61">
        <f t="shared" si="14"/>
        <v>228225.37120000005</v>
      </c>
      <c r="Z37">
        <f t="shared" si="5"/>
        <v>0</v>
      </c>
      <c r="AA37" s="60">
        <f>'Analyzier - Inputs'!$E$11*K37*'Analyzier - Inputs'!$E$4*'Analyzier - Inputs'!$B$4*'Analyzier - Inputs'!$H$11</f>
        <v>64311.196695652179</v>
      </c>
      <c r="AB37" s="61">
        <f>('Analyzier - Inputs'!$F$11/1000)*'Analyzier - Inputs'!$C$22*24*(365/12)*'Analyzier - Inputs'!$B$4*'Analyzier - Inputs'!$H$11</f>
        <v>18978.102000000003</v>
      </c>
      <c r="AC37" s="61">
        <f>(AA37-AB37)*'Analyzier - Inputs'!$F$4*(1-'Analyzier - Inputs'!$I$4)</f>
        <v>41706.447120000004</v>
      </c>
      <c r="AD37" s="61">
        <f t="shared" si="15"/>
        <v>709745.64920000057</v>
      </c>
      <c r="AE37">
        <f t="shared" si="6"/>
        <v>0</v>
      </c>
      <c r="AF37" s="60">
        <f>'Analyzier - Inputs'!$E$12*K37*'Analyzier - Inputs'!$E$4*'Analyzier - Inputs'!$B$4*'Analyzier - Inputs'!$H$12</f>
        <v>46761.624000000011</v>
      </c>
      <c r="AG37" s="61">
        <f>('Analyzier - Inputs'!$F$12/1000)*'Analyzier - Inputs'!$C$22*24*(365/12)*'Analyzier - Inputs'!$B$4*'Analyzier - Inputs'!$H$12</f>
        <v>18945.836000000003</v>
      </c>
      <c r="AH37" s="61">
        <f>(AF37-AG37)*'Analyzier - Inputs'!$F$4*(1-'Analyzier - Inputs'!$I$4)</f>
        <v>25590.52496000001</v>
      </c>
      <c r="AI37" s="61">
        <f t="shared" si="16"/>
        <v>510368.37360000034</v>
      </c>
      <c r="AJ37">
        <f t="shared" si="7"/>
        <v>0</v>
      </c>
      <c r="AK37" s="60">
        <f>'Analyzier - Inputs'!$E$13*K37*'Analyzier - Inputs'!$E$4*'Analyzier - Inputs'!$B$4*'Analyzier - Inputs'!$H$13*'Analyzier - Inputs'!$G$4*'Analyzier - Inputs'!$H$4</f>
        <v>52977.144208695667</v>
      </c>
      <c r="AL37" s="61">
        <f>('Analyzier - Inputs'!$F$12/1000)*'Analyzier - Inputs'!$C$22*24*(365/12)*'Analyzier - Inputs'!$B$4*'Analyzier - Inputs'!$H$12</f>
        <v>18945.836000000003</v>
      </c>
      <c r="AM37" s="61">
        <f>(AK37-AL37)*'Analyzier - Inputs'!$F$4</f>
        <v>34031.308208695664</v>
      </c>
      <c r="AN37" s="61">
        <f t="shared" si="17"/>
        <v>568709.79032765259</v>
      </c>
      <c r="AO37">
        <f t="shared" si="8"/>
        <v>0</v>
      </c>
      <c r="AP37" s="60">
        <f>'Analyzier - Inputs'!$E$14*K37*'Analyzier - Inputs'!$E$4*'Analyzier - Inputs'!$B$4*'Analyzier - Inputs'!$H$14*'Analyzier - Inputs'!$G$4*'Analyzier - Inputs'!$H$4</f>
        <v>65685.224347826093</v>
      </c>
      <c r="AQ37" s="61">
        <f>('Analyzier - Inputs'!$F$12/1000)*'Analyzier - Inputs'!$C$22*24*(365/12)*'Analyzier - Inputs'!$B$4*'Analyzier - Inputs'!$H$12</f>
        <v>18945.836000000003</v>
      </c>
      <c r="AR37" s="61">
        <f>(AP37-AQ37)*'Analyzier - Inputs'!$F$4</f>
        <v>46739.38834782609</v>
      </c>
      <c r="AS37" s="61">
        <f t="shared" si="18"/>
        <v>760475.94878608698</v>
      </c>
      <c r="AT37">
        <f t="shared" si="9"/>
        <v>0</v>
      </c>
    </row>
    <row r="38" spans="1:46" x14ac:dyDescent="0.2">
      <c r="A38" s="31" t="s">
        <v>75</v>
      </c>
      <c r="B38" s="30">
        <v>45078</v>
      </c>
      <c r="C38" s="31">
        <f t="shared" si="0"/>
        <v>3</v>
      </c>
      <c r="D38" s="31">
        <v>36</v>
      </c>
      <c r="E38" s="29">
        <f t="shared" si="20"/>
        <v>115000</v>
      </c>
      <c r="F38" s="36">
        <f t="shared" si="20"/>
        <v>9000</v>
      </c>
      <c r="G38" s="36">
        <v>6.25</v>
      </c>
      <c r="H38" s="36">
        <f t="shared" si="1"/>
        <v>27450</v>
      </c>
      <c r="I38" s="37">
        <f>H38*'Analyzier - Inputs'!$D$4</f>
        <v>1098</v>
      </c>
      <c r="J38" s="36">
        <f t="shared" si="2"/>
        <v>28548</v>
      </c>
      <c r="K38" s="84">
        <f t="shared" si="11"/>
        <v>2.4824347826086959E-4</v>
      </c>
      <c r="L38" s="60">
        <f>'Analyzier - Inputs'!$E$8*K38*'Analyzier - Inputs'!$E$4*'Analyzier - Inputs'!$B$4*'Analyzier - Inputs'!$H$8</f>
        <v>55832.440695652178</v>
      </c>
      <c r="M38" s="61">
        <f>('Analyzier - Inputs'!$F$8/1000)*'Analyzier - Inputs'!$C$22*24*(365/12)*'Analyzier - Inputs'!$B$4*'Analyzier - Inputs'!$H$8</f>
        <v>18972.408000000003</v>
      </c>
      <c r="N38" s="61">
        <f>(L38-M38)*'Analyzier - Inputs'!$F$4*(1-'Analyzier - Inputs'!$I$4)</f>
        <v>33911.230080000001</v>
      </c>
      <c r="O38" s="43">
        <f t="shared" si="12"/>
        <v>611224.28288000019</v>
      </c>
      <c r="P38">
        <f t="shared" si="3"/>
        <v>0</v>
      </c>
      <c r="Q38" s="60">
        <f>'Analyzier - Inputs'!$E$9*K38*'Analyzier - Inputs'!$E$4*'Analyzier - Inputs'!$B$4*'Analyzier - Inputs'!$H$9</f>
        <v>44576.584904347823</v>
      </c>
      <c r="R38" s="61">
        <f>('Analyzier - Inputs'!$F$9/1000)*'Analyzier - Inputs'!$C$22*24*(365/12)*'Analyzier - Inputs'!$B$4*'Analyzier - Inputs'!$H$9</f>
        <v>18934.448</v>
      </c>
      <c r="S38" s="61">
        <f>(Q38-R38)*'Analyzier - Inputs'!$F$4*(1-'Analyzier - Inputs'!$I$4)</f>
        <v>23590.765951999998</v>
      </c>
      <c r="T38" s="61">
        <f t="shared" si="13"/>
        <v>423527.57427199971</v>
      </c>
      <c r="U38">
        <f t="shared" si="4"/>
        <v>0</v>
      </c>
      <c r="V38" s="60">
        <f>'Analyzier - Inputs'!$E$10*K38*'Analyzier - Inputs'!$E$4*'Analyzier - Inputs'!$B$4*'Analyzier - Inputs'!$H$10</f>
        <v>31904.251826086962</v>
      </c>
      <c r="W38" s="61">
        <f>('Analyzier - Inputs'!$F$10/1000)*'Analyzier - Inputs'!$C$22*24*(365/12)*'Analyzier - Inputs'!$B$4*'Analyzier - Inputs'!$H$10</f>
        <v>18972.408000000003</v>
      </c>
      <c r="X38" s="61">
        <f>(V38-W38)*'Analyzier - Inputs'!$F$4*(1-'Analyzier - Inputs'!$I$4)</f>
        <v>11897.296320000003</v>
      </c>
      <c r="Y38" s="61">
        <f t="shared" si="14"/>
        <v>240122.66752000005</v>
      </c>
      <c r="Z38">
        <f t="shared" si="5"/>
        <v>0</v>
      </c>
      <c r="AA38" s="60">
        <f>'Analyzier - Inputs'!$E$11*K38*'Analyzier - Inputs'!$E$4*'Analyzier - Inputs'!$B$4*'Analyzier - Inputs'!$H$11</f>
        <v>64311.196695652179</v>
      </c>
      <c r="AB38" s="61">
        <f>('Analyzier - Inputs'!$F$11/1000)*'Analyzier - Inputs'!$C$22*24*(365/12)*'Analyzier - Inputs'!$B$4*'Analyzier - Inputs'!$H$11</f>
        <v>18978.102000000003</v>
      </c>
      <c r="AC38" s="61">
        <f>(AA38-AB38)*'Analyzier - Inputs'!$F$4*(1-'Analyzier - Inputs'!$I$4)</f>
        <v>41706.447120000004</v>
      </c>
      <c r="AD38" s="61">
        <f t="shared" si="15"/>
        <v>751452.09632000059</v>
      </c>
      <c r="AE38">
        <f t="shared" si="6"/>
        <v>0</v>
      </c>
      <c r="AF38" s="60">
        <f>'Analyzier - Inputs'!$E$12*K38*'Analyzier - Inputs'!$E$4*'Analyzier - Inputs'!$B$4*'Analyzier - Inputs'!$H$12</f>
        <v>46761.624000000011</v>
      </c>
      <c r="AG38" s="61">
        <f>('Analyzier - Inputs'!$F$12/1000)*'Analyzier - Inputs'!$C$22*24*(365/12)*'Analyzier - Inputs'!$B$4*'Analyzier - Inputs'!$H$12</f>
        <v>18945.836000000003</v>
      </c>
      <c r="AH38" s="61">
        <f>(AF38-AG38)*'Analyzier - Inputs'!$F$4*(1-'Analyzier - Inputs'!$I$4)</f>
        <v>25590.52496000001</v>
      </c>
      <c r="AI38" s="61">
        <f t="shared" si="16"/>
        <v>535958.89856000035</v>
      </c>
      <c r="AJ38">
        <f t="shared" si="7"/>
        <v>0</v>
      </c>
      <c r="AK38" s="60">
        <f>'Analyzier - Inputs'!$E$13*K38*'Analyzier - Inputs'!$E$4*'Analyzier - Inputs'!$B$4*'Analyzier - Inputs'!$H$13*'Analyzier - Inputs'!$G$4*'Analyzier - Inputs'!$H$4</f>
        <v>52977.144208695667</v>
      </c>
      <c r="AL38" s="61">
        <f>('Analyzier - Inputs'!$F$12/1000)*'Analyzier - Inputs'!$C$22*24*(365/12)*'Analyzier - Inputs'!$B$4*'Analyzier - Inputs'!$H$12</f>
        <v>18945.836000000003</v>
      </c>
      <c r="AM38" s="61">
        <f>(AK38-AL38)*'Analyzier - Inputs'!$F$4</f>
        <v>34031.308208695664</v>
      </c>
      <c r="AN38" s="61">
        <f t="shared" si="17"/>
        <v>602741.0985363482</v>
      </c>
      <c r="AO38">
        <f t="shared" si="8"/>
        <v>0</v>
      </c>
      <c r="AP38" s="60">
        <f>'Analyzier - Inputs'!$E$14*K38*'Analyzier - Inputs'!$E$4*'Analyzier - Inputs'!$B$4*'Analyzier - Inputs'!$H$14*'Analyzier - Inputs'!$G$4*'Analyzier - Inputs'!$H$4</f>
        <v>65685.224347826093</v>
      </c>
      <c r="AQ38" s="61">
        <f>('Analyzier - Inputs'!$F$12/1000)*'Analyzier - Inputs'!$C$22*24*(365/12)*'Analyzier - Inputs'!$B$4*'Analyzier - Inputs'!$H$12</f>
        <v>18945.836000000003</v>
      </c>
      <c r="AR38" s="61">
        <f>(AP38-AQ38)*'Analyzier - Inputs'!$F$4</f>
        <v>46739.38834782609</v>
      </c>
      <c r="AS38" s="61">
        <f t="shared" si="18"/>
        <v>807215.33713391307</v>
      </c>
      <c r="AT38">
        <f t="shared" si="9"/>
        <v>0</v>
      </c>
    </row>
    <row r="39" spans="1:46" x14ac:dyDescent="0.2">
      <c r="A39" s="31" t="s">
        <v>76</v>
      </c>
      <c r="B39" s="30">
        <v>45108</v>
      </c>
      <c r="C39" s="31">
        <f t="shared" si="0"/>
        <v>4</v>
      </c>
      <c r="D39" s="31">
        <v>37</v>
      </c>
      <c r="E39" s="29">
        <f t="shared" si="20"/>
        <v>115000</v>
      </c>
      <c r="F39" s="36">
        <f t="shared" si="20"/>
        <v>9000</v>
      </c>
      <c r="G39" s="36">
        <v>6.25</v>
      </c>
      <c r="H39" s="36">
        <f t="shared" si="1"/>
        <v>27450</v>
      </c>
      <c r="I39" s="37">
        <f>H39*'Analyzier - Inputs'!$D$4</f>
        <v>1098</v>
      </c>
      <c r="J39" s="36">
        <f t="shared" si="2"/>
        <v>28548</v>
      </c>
      <c r="K39" s="84">
        <f t="shared" si="11"/>
        <v>2.4824347826086959E-4</v>
      </c>
      <c r="L39" s="60">
        <f>'Analyzier - Inputs'!$E$8*K39*'Analyzier - Inputs'!$E$4*'Analyzier - Inputs'!$B$4*'Analyzier - Inputs'!$H$8</f>
        <v>55832.440695652178</v>
      </c>
      <c r="M39" s="61">
        <f>('Analyzier - Inputs'!$F$8/1000)*'Analyzier - Inputs'!$C$22*24*(365/12)*'Analyzier - Inputs'!$B$4*'Analyzier - Inputs'!$H$8</f>
        <v>18972.408000000003</v>
      </c>
      <c r="N39" s="61">
        <f>(L39-M39)*'Analyzier - Inputs'!$F$4*(1-'Analyzier - Inputs'!$I$4)</f>
        <v>33911.230080000001</v>
      </c>
      <c r="O39" s="43">
        <f t="shared" si="12"/>
        <v>645135.5129600002</v>
      </c>
      <c r="P39">
        <f t="shared" si="3"/>
        <v>0</v>
      </c>
      <c r="Q39" s="60">
        <f>'Analyzier - Inputs'!$E$9*K39*'Analyzier - Inputs'!$E$4*'Analyzier - Inputs'!$B$4*'Analyzier - Inputs'!$H$9</f>
        <v>44576.584904347823</v>
      </c>
      <c r="R39" s="61">
        <f>('Analyzier - Inputs'!$F$9/1000)*'Analyzier - Inputs'!$C$22*24*(365/12)*'Analyzier - Inputs'!$B$4*'Analyzier - Inputs'!$H$9</f>
        <v>18934.448</v>
      </c>
      <c r="S39" s="61">
        <f>(Q39-R39)*'Analyzier - Inputs'!$F$4*(1-'Analyzier - Inputs'!$I$4)</f>
        <v>23590.765951999998</v>
      </c>
      <c r="T39" s="61">
        <f t="shared" si="13"/>
        <v>447118.34022399969</v>
      </c>
      <c r="U39">
        <f t="shared" si="4"/>
        <v>0</v>
      </c>
      <c r="V39" s="60">
        <f>'Analyzier - Inputs'!$E$10*K39*'Analyzier - Inputs'!$E$4*'Analyzier - Inputs'!$B$4*'Analyzier - Inputs'!$H$10</f>
        <v>31904.251826086962</v>
      </c>
      <c r="W39" s="61">
        <f>('Analyzier - Inputs'!$F$10/1000)*'Analyzier - Inputs'!$C$22*24*(365/12)*'Analyzier - Inputs'!$B$4*'Analyzier - Inputs'!$H$10</f>
        <v>18972.408000000003</v>
      </c>
      <c r="X39" s="61">
        <f>(V39-W39)*'Analyzier - Inputs'!$F$4*(1-'Analyzier - Inputs'!$I$4)</f>
        <v>11897.296320000003</v>
      </c>
      <c r="Y39" s="61">
        <f t="shared" si="14"/>
        <v>252019.96384000004</v>
      </c>
      <c r="Z39">
        <f t="shared" si="5"/>
        <v>0</v>
      </c>
      <c r="AA39" s="60">
        <f>'Analyzier - Inputs'!$E$11*K39*'Analyzier - Inputs'!$E$4*'Analyzier - Inputs'!$B$4*'Analyzier - Inputs'!$H$11</f>
        <v>64311.196695652179</v>
      </c>
      <c r="AB39" s="61">
        <f>('Analyzier - Inputs'!$F$11/1000)*'Analyzier - Inputs'!$C$22*24*(365/12)*'Analyzier - Inputs'!$B$4*'Analyzier - Inputs'!$H$11</f>
        <v>18978.102000000003</v>
      </c>
      <c r="AC39" s="61">
        <f>(AA39-AB39)*'Analyzier - Inputs'!$F$4*(1-'Analyzier - Inputs'!$I$4)</f>
        <v>41706.447120000004</v>
      </c>
      <c r="AD39" s="61">
        <f t="shared" si="15"/>
        <v>793158.54344000062</v>
      </c>
      <c r="AE39">
        <f t="shared" si="6"/>
        <v>0</v>
      </c>
      <c r="AF39" s="60">
        <f>'Analyzier - Inputs'!$E$12*K39*'Analyzier - Inputs'!$E$4*'Analyzier - Inputs'!$B$4*'Analyzier - Inputs'!$H$12</f>
        <v>46761.624000000011</v>
      </c>
      <c r="AG39" s="61">
        <f>('Analyzier - Inputs'!$F$12/1000)*'Analyzier - Inputs'!$C$22*24*(365/12)*'Analyzier - Inputs'!$B$4*'Analyzier - Inputs'!$H$12</f>
        <v>18945.836000000003</v>
      </c>
      <c r="AH39" s="61">
        <f>(AF39-AG39)*'Analyzier - Inputs'!$F$4*(1-'Analyzier - Inputs'!$I$4)</f>
        <v>25590.52496000001</v>
      </c>
      <c r="AI39" s="61">
        <f t="shared" si="16"/>
        <v>561549.42352000042</v>
      </c>
      <c r="AJ39">
        <f t="shared" si="7"/>
        <v>0</v>
      </c>
      <c r="AK39" s="60">
        <f>'Analyzier - Inputs'!$E$13*K39*'Analyzier - Inputs'!$E$4*'Analyzier - Inputs'!$B$4*'Analyzier - Inputs'!$H$13*'Analyzier - Inputs'!$G$4*'Analyzier - Inputs'!$H$4</f>
        <v>52977.144208695667</v>
      </c>
      <c r="AL39" s="61">
        <f>('Analyzier - Inputs'!$F$12/1000)*'Analyzier - Inputs'!$C$22*24*(365/12)*'Analyzier - Inputs'!$B$4*'Analyzier - Inputs'!$H$12</f>
        <v>18945.836000000003</v>
      </c>
      <c r="AM39" s="61">
        <f>(AK39-AL39)*'Analyzier - Inputs'!$F$4</f>
        <v>34031.308208695664</v>
      </c>
      <c r="AN39" s="61">
        <f t="shared" si="17"/>
        <v>636772.40674504382</v>
      </c>
      <c r="AO39">
        <f t="shared" si="8"/>
        <v>0</v>
      </c>
      <c r="AP39" s="60">
        <f>'Analyzier - Inputs'!$E$14*K39*'Analyzier - Inputs'!$E$4*'Analyzier - Inputs'!$B$4*'Analyzier - Inputs'!$H$14*'Analyzier - Inputs'!$G$4*'Analyzier - Inputs'!$H$4</f>
        <v>65685.224347826093</v>
      </c>
      <c r="AQ39" s="61">
        <f>('Analyzier - Inputs'!$F$12/1000)*'Analyzier - Inputs'!$C$22*24*(365/12)*'Analyzier - Inputs'!$B$4*'Analyzier - Inputs'!$H$12</f>
        <v>18945.836000000003</v>
      </c>
      <c r="AR39" s="61">
        <f>(AP39-AQ39)*'Analyzier - Inputs'!$F$4</f>
        <v>46739.38834782609</v>
      </c>
      <c r="AS39" s="61">
        <f t="shared" si="18"/>
        <v>853954.72548173915</v>
      </c>
      <c r="AT39">
        <f t="shared" si="9"/>
        <v>0</v>
      </c>
    </row>
    <row r="40" spans="1:46" x14ac:dyDescent="0.2">
      <c r="A40" s="31" t="s">
        <v>77</v>
      </c>
      <c r="B40" s="30">
        <v>45139</v>
      </c>
      <c r="C40" s="31">
        <f t="shared" si="0"/>
        <v>4</v>
      </c>
      <c r="D40" s="31">
        <v>38</v>
      </c>
      <c r="E40" s="29">
        <f t="shared" si="20"/>
        <v>115000</v>
      </c>
      <c r="F40" s="36">
        <f t="shared" si="20"/>
        <v>9000</v>
      </c>
      <c r="G40" s="36">
        <v>6.25</v>
      </c>
      <c r="H40" s="36">
        <f t="shared" si="1"/>
        <v>27450</v>
      </c>
      <c r="I40" s="37">
        <f>H40*'Analyzier - Inputs'!$D$4</f>
        <v>1098</v>
      </c>
      <c r="J40" s="36">
        <f t="shared" si="2"/>
        <v>28548</v>
      </c>
      <c r="K40" s="84">
        <f t="shared" si="11"/>
        <v>2.4824347826086959E-4</v>
      </c>
      <c r="L40" s="60">
        <f>'Analyzier - Inputs'!$E$8*K40*'Analyzier - Inputs'!$E$4*'Analyzier - Inputs'!$B$4*'Analyzier - Inputs'!$H$8</f>
        <v>55832.440695652178</v>
      </c>
      <c r="M40" s="61">
        <f>('Analyzier - Inputs'!$F$8/1000)*'Analyzier - Inputs'!$C$22*24*(365/12)*'Analyzier - Inputs'!$B$4*'Analyzier - Inputs'!$H$8</f>
        <v>18972.408000000003</v>
      </c>
      <c r="N40" s="61">
        <f>(L40-M40)*'Analyzier - Inputs'!$F$4*(1-'Analyzier - Inputs'!$I$4)</f>
        <v>33911.230080000001</v>
      </c>
      <c r="O40" s="43">
        <f t="shared" si="12"/>
        <v>679046.7430400002</v>
      </c>
      <c r="P40">
        <f t="shared" si="3"/>
        <v>0</v>
      </c>
      <c r="Q40" s="60">
        <f>'Analyzier - Inputs'!$E$9*K40*'Analyzier - Inputs'!$E$4*'Analyzier - Inputs'!$B$4*'Analyzier - Inputs'!$H$9</f>
        <v>44576.584904347823</v>
      </c>
      <c r="R40" s="61">
        <f>('Analyzier - Inputs'!$F$9/1000)*'Analyzier - Inputs'!$C$22*24*(365/12)*'Analyzier - Inputs'!$B$4*'Analyzier - Inputs'!$H$9</f>
        <v>18934.448</v>
      </c>
      <c r="S40" s="61">
        <f>(Q40-R40)*'Analyzier - Inputs'!$F$4*(1-'Analyzier - Inputs'!$I$4)</f>
        <v>23590.765951999998</v>
      </c>
      <c r="T40" s="61">
        <f t="shared" si="13"/>
        <v>470709.10617599968</v>
      </c>
      <c r="U40">
        <f t="shared" si="4"/>
        <v>0</v>
      </c>
      <c r="V40" s="60">
        <f>'Analyzier - Inputs'!$E$10*K40*'Analyzier - Inputs'!$E$4*'Analyzier - Inputs'!$B$4*'Analyzier - Inputs'!$H$10</f>
        <v>31904.251826086962</v>
      </c>
      <c r="W40" s="61">
        <f>('Analyzier - Inputs'!$F$10/1000)*'Analyzier - Inputs'!$C$22*24*(365/12)*'Analyzier - Inputs'!$B$4*'Analyzier - Inputs'!$H$10</f>
        <v>18972.408000000003</v>
      </c>
      <c r="X40" s="61">
        <f>(V40-W40)*'Analyzier - Inputs'!$F$4*(1-'Analyzier - Inputs'!$I$4)</f>
        <v>11897.296320000003</v>
      </c>
      <c r="Y40" s="61">
        <f t="shared" si="14"/>
        <v>263917.26016000006</v>
      </c>
      <c r="Z40">
        <f t="shared" si="5"/>
        <v>0</v>
      </c>
      <c r="AA40" s="60">
        <f>'Analyzier - Inputs'!$E$11*K40*'Analyzier - Inputs'!$E$4*'Analyzier - Inputs'!$B$4*'Analyzier - Inputs'!$H$11</f>
        <v>64311.196695652179</v>
      </c>
      <c r="AB40" s="61">
        <f>('Analyzier - Inputs'!$F$11/1000)*'Analyzier - Inputs'!$C$22*24*(365/12)*'Analyzier - Inputs'!$B$4*'Analyzier - Inputs'!$H$11</f>
        <v>18978.102000000003</v>
      </c>
      <c r="AC40" s="61">
        <f>(AA40-AB40)*'Analyzier - Inputs'!$F$4*(1-'Analyzier - Inputs'!$I$4)</f>
        <v>41706.447120000004</v>
      </c>
      <c r="AD40" s="61">
        <f t="shared" si="15"/>
        <v>834864.99056000065</v>
      </c>
      <c r="AE40">
        <f t="shared" si="6"/>
        <v>0</v>
      </c>
      <c r="AF40" s="60">
        <f>'Analyzier - Inputs'!$E$12*K40*'Analyzier - Inputs'!$E$4*'Analyzier - Inputs'!$B$4*'Analyzier - Inputs'!$H$12</f>
        <v>46761.624000000011</v>
      </c>
      <c r="AG40" s="61">
        <f>('Analyzier - Inputs'!$F$12/1000)*'Analyzier - Inputs'!$C$22*24*(365/12)*'Analyzier - Inputs'!$B$4*'Analyzier - Inputs'!$H$12</f>
        <v>18945.836000000003</v>
      </c>
      <c r="AH40" s="61">
        <f>(AF40-AG40)*'Analyzier - Inputs'!$F$4*(1-'Analyzier - Inputs'!$I$4)</f>
        <v>25590.52496000001</v>
      </c>
      <c r="AI40" s="61">
        <f t="shared" si="16"/>
        <v>587139.94848000049</v>
      </c>
      <c r="AJ40">
        <f t="shared" si="7"/>
        <v>0</v>
      </c>
      <c r="AK40" s="60">
        <f>'Analyzier - Inputs'!$E$13*K40*'Analyzier - Inputs'!$E$4*'Analyzier - Inputs'!$B$4*'Analyzier - Inputs'!$H$13*'Analyzier - Inputs'!$G$4*'Analyzier - Inputs'!$H$4</f>
        <v>52977.144208695667</v>
      </c>
      <c r="AL40" s="61">
        <f>('Analyzier - Inputs'!$F$12/1000)*'Analyzier - Inputs'!$C$22*24*(365/12)*'Analyzier - Inputs'!$B$4*'Analyzier - Inputs'!$H$12</f>
        <v>18945.836000000003</v>
      </c>
      <c r="AM40" s="61">
        <f>(AK40-AL40)*'Analyzier - Inputs'!$F$4</f>
        <v>34031.308208695664</v>
      </c>
      <c r="AN40" s="61">
        <f t="shared" si="17"/>
        <v>670803.71495373943</v>
      </c>
      <c r="AO40">
        <f t="shared" si="8"/>
        <v>0</v>
      </c>
      <c r="AP40" s="60">
        <f>'Analyzier - Inputs'!$E$14*K40*'Analyzier - Inputs'!$E$4*'Analyzier - Inputs'!$B$4*'Analyzier - Inputs'!$H$14*'Analyzier - Inputs'!$G$4*'Analyzier - Inputs'!$H$4</f>
        <v>65685.224347826093</v>
      </c>
      <c r="AQ40" s="61">
        <f>('Analyzier - Inputs'!$F$12/1000)*'Analyzier - Inputs'!$C$22*24*(365/12)*'Analyzier - Inputs'!$B$4*'Analyzier - Inputs'!$H$12</f>
        <v>18945.836000000003</v>
      </c>
      <c r="AR40" s="61">
        <f>(AP40-AQ40)*'Analyzier - Inputs'!$F$4</f>
        <v>46739.38834782609</v>
      </c>
      <c r="AS40" s="61">
        <f t="shared" si="18"/>
        <v>900694.11382956523</v>
      </c>
      <c r="AT40">
        <f t="shared" si="9"/>
        <v>0</v>
      </c>
    </row>
    <row r="41" spans="1:46" x14ac:dyDescent="0.2">
      <c r="A41" s="31" t="s">
        <v>78</v>
      </c>
      <c r="B41" s="30">
        <v>45170</v>
      </c>
      <c r="C41" s="31">
        <f t="shared" si="0"/>
        <v>4</v>
      </c>
      <c r="D41" s="31">
        <v>39</v>
      </c>
      <c r="E41" s="29">
        <f t="shared" si="20"/>
        <v>115000</v>
      </c>
      <c r="F41" s="36">
        <f t="shared" si="20"/>
        <v>9000</v>
      </c>
      <c r="G41" s="36">
        <v>6.25</v>
      </c>
      <c r="H41" s="36">
        <f t="shared" si="1"/>
        <v>27450</v>
      </c>
      <c r="I41" s="37">
        <f>H41*'Analyzier - Inputs'!$D$4</f>
        <v>1098</v>
      </c>
      <c r="J41" s="36">
        <f t="shared" si="2"/>
        <v>28548</v>
      </c>
      <c r="K41" s="84">
        <f t="shared" si="11"/>
        <v>2.4824347826086959E-4</v>
      </c>
      <c r="L41" s="60">
        <f>'Analyzier - Inputs'!$E$8*K41*'Analyzier - Inputs'!$E$4*'Analyzier - Inputs'!$B$4*'Analyzier - Inputs'!$H$8</f>
        <v>55832.440695652178</v>
      </c>
      <c r="M41" s="61">
        <f>('Analyzier - Inputs'!$F$8/1000)*'Analyzier - Inputs'!$C$22*24*(365/12)*'Analyzier - Inputs'!$B$4*'Analyzier - Inputs'!$H$8</f>
        <v>18972.408000000003</v>
      </c>
      <c r="N41" s="61">
        <f>(L41-M41)*'Analyzier - Inputs'!$F$4*(1-'Analyzier - Inputs'!$I$4)</f>
        <v>33911.230080000001</v>
      </c>
      <c r="O41" s="43">
        <f t="shared" si="12"/>
        <v>712957.97312000021</v>
      </c>
      <c r="P41">
        <f t="shared" si="3"/>
        <v>0</v>
      </c>
      <c r="Q41" s="60">
        <f>'Analyzier - Inputs'!$E$9*K41*'Analyzier - Inputs'!$E$4*'Analyzier - Inputs'!$B$4*'Analyzier - Inputs'!$H$9</f>
        <v>44576.584904347823</v>
      </c>
      <c r="R41" s="61">
        <f>('Analyzier - Inputs'!$F$9/1000)*'Analyzier - Inputs'!$C$22*24*(365/12)*'Analyzier - Inputs'!$B$4*'Analyzier - Inputs'!$H$9</f>
        <v>18934.448</v>
      </c>
      <c r="S41" s="61">
        <f>(Q41-R41)*'Analyzier - Inputs'!$F$4*(1-'Analyzier - Inputs'!$I$4)</f>
        <v>23590.765951999998</v>
      </c>
      <c r="T41" s="61">
        <f t="shared" si="13"/>
        <v>494299.87212799967</v>
      </c>
      <c r="U41">
        <f t="shared" si="4"/>
        <v>0</v>
      </c>
      <c r="V41" s="60">
        <f>'Analyzier - Inputs'!$E$10*K41*'Analyzier - Inputs'!$E$4*'Analyzier - Inputs'!$B$4*'Analyzier - Inputs'!$H$10</f>
        <v>31904.251826086962</v>
      </c>
      <c r="W41" s="61">
        <f>('Analyzier - Inputs'!$F$10/1000)*'Analyzier - Inputs'!$C$22*24*(365/12)*'Analyzier - Inputs'!$B$4*'Analyzier - Inputs'!$H$10</f>
        <v>18972.408000000003</v>
      </c>
      <c r="X41" s="61">
        <f>(V41-W41)*'Analyzier - Inputs'!$F$4*(1-'Analyzier - Inputs'!$I$4)</f>
        <v>11897.296320000003</v>
      </c>
      <c r="Y41" s="61">
        <f t="shared" si="14"/>
        <v>275814.55648000009</v>
      </c>
      <c r="Z41">
        <f t="shared" si="5"/>
        <v>0</v>
      </c>
      <c r="AA41" s="60">
        <f>'Analyzier - Inputs'!$E$11*K41*'Analyzier - Inputs'!$E$4*'Analyzier - Inputs'!$B$4*'Analyzier - Inputs'!$H$11</f>
        <v>64311.196695652179</v>
      </c>
      <c r="AB41" s="61">
        <f>('Analyzier - Inputs'!$F$11/1000)*'Analyzier - Inputs'!$C$22*24*(365/12)*'Analyzier - Inputs'!$B$4*'Analyzier - Inputs'!$H$11</f>
        <v>18978.102000000003</v>
      </c>
      <c r="AC41" s="61">
        <f>(AA41-AB41)*'Analyzier - Inputs'!$F$4*(1-'Analyzier - Inputs'!$I$4)</f>
        <v>41706.447120000004</v>
      </c>
      <c r="AD41" s="61">
        <f t="shared" si="15"/>
        <v>876571.43768000067</v>
      </c>
      <c r="AE41">
        <f t="shared" si="6"/>
        <v>0</v>
      </c>
      <c r="AF41" s="60">
        <f>'Analyzier - Inputs'!$E$12*K41*'Analyzier - Inputs'!$E$4*'Analyzier - Inputs'!$B$4*'Analyzier - Inputs'!$H$12</f>
        <v>46761.624000000011</v>
      </c>
      <c r="AG41" s="61">
        <f>('Analyzier - Inputs'!$F$12/1000)*'Analyzier - Inputs'!$C$22*24*(365/12)*'Analyzier - Inputs'!$B$4*'Analyzier - Inputs'!$H$12</f>
        <v>18945.836000000003</v>
      </c>
      <c r="AH41" s="61">
        <f>(AF41-AG41)*'Analyzier - Inputs'!$F$4*(1-'Analyzier - Inputs'!$I$4)</f>
        <v>25590.52496000001</v>
      </c>
      <c r="AI41" s="61">
        <f t="shared" si="16"/>
        <v>612730.47344000055</v>
      </c>
      <c r="AJ41">
        <f t="shared" si="7"/>
        <v>0</v>
      </c>
      <c r="AK41" s="60">
        <f>'Analyzier - Inputs'!$E$13*K41*'Analyzier - Inputs'!$E$4*'Analyzier - Inputs'!$B$4*'Analyzier - Inputs'!$H$13*'Analyzier - Inputs'!$G$4*'Analyzier - Inputs'!$H$4</f>
        <v>52977.144208695667</v>
      </c>
      <c r="AL41" s="61">
        <f>('Analyzier - Inputs'!$F$12/1000)*'Analyzier - Inputs'!$C$22*24*(365/12)*'Analyzier - Inputs'!$B$4*'Analyzier - Inputs'!$H$12</f>
        <v>18945.836000000003</v>
      </c>
      <c r="AM41" s="61">
        <f>(AK41-AL41)*'Analyzier - Inputs'!$F$4</f>
        <v>34031.308208695664</v>
      </c>
      <c r="AN41" s="61">
        <f t="shared" si="17"/>
        <v>704835.02316243504</v>
      </c>
      <c r="AO41">
        <f t="shared" si="8"/>
        <v>0</v>
      </c>
      <c r="AP41" s="60">
        <f>'Analyzier - Inputs'!$E$14*K41*'Analyzier - Inputs'!$E$4*'Analyzier - Inputs'!$B$4*'Analyzier - Inputs'!$H$14*'Analyzier - Inputs'!$G$4*'Analyzier - Inputs'!$H$4</f>
        <v>65685.224347826093</v>
      </c>
      <c r="AQ41" s="61">
        <f>('Analyzier - Inputs'!$F$12/1000)*'Analyzier - Inputs'!$C$22*24*(365/12)*'Analyzier - Inputs'!$B$4*'Analyzier - Inputs'!$H$12</f>
        <v>18945.836000000003</v>
      </c>
      <c r="AR41" s="61">
        <f>(AP41-AQ41)*'Analyzier - Inputs'!$F$4</f>
        <v>46739.38834782609</v>
      </c>
      <c r="AS41" s="61">
        <f t="shared" si="18"/>
        <v>947433.50217739132</v>
      </c>
      <c r="AT41">
        <f t="shared" si="9"/>
        <v>0</v>
      </c>
    </row>
    <row r="42" spans="1:46" x14ac:dyDescent="0.2">
      <c r="A42" s="31" t="s">
        <v>79</v>
      </c>
      <c r="B42" s="30">
        <v>45200</v>
      </c>
      <c r="C42" s="31">
        <f t="shared" si="0"/>
        <v>4</v>
      </c>
      <c r="D42" s="31">
        <v>40</v>
      </c>
      <c r="E42" s="29">
        <f t="shared" si="20"/>
        <v>115000</v>
      </c>
      <c r="F42" s="36">
        <f t="shared" si="20"/>
        <v>9000</v>
      </c>
      <c r="G42" s="36">
        <v>6.25</v>
      </c>
      <c r="H42" s="36">
        <f t="shared" si="1"/>
        <v>27450</v>
      </c>
      <c r="I42" s="37">
        <f>H42*'Analyzier - Inputs'!$D$4</f>
        <v>1098</v>
      </c>
      <c r="J42" s="36">
        <f t="shared" si="2"/>
        <v>28548</v>
      </c>
      <c r="K42" s="84">
        <f t="shared" si="11"/>
        <v>2.4824347826086959E-4</v>
      </c>
      <c r="L42" s="60">
        <f>'Analyzier - Inputs'!$E$8*K42*'Analyzier - Inputs'!$E$4*'Analyzier - Inputs'!$B$4*'Analyzier - Inputs'!$H$8</f>
        <v>55832.440695652178</v>
      </c>
      <c r="M42" s="61">
        <f>('Analyzier - Inputs'!$F$8/1000)*'Analyzier - Inputs'!$C$22*24*(365/12)*'Analyzier - Inputs'!$B$4*'Analyzier - Inputs'!$H$8</f>
        <v>18972.408000000003</v>
      </c>
      <c r="N42" s="61">
        <f>(L42-M42)*'Analyzier - Inputs'!$F$4*(1-'Analyzier - Inputs'!$I$4)</f>
        <v>33911.230080000001</v>
      </c>
      <c r="O42" s="43">
        <f t="shared" si="12"/>
        <v>746869.20320000022</v>
      </c>
      <c r="P42">
        <f t="shared" si="3"/>
        <v>0</v>
      </c>
      <c r="Q42" s="60">
        <f>'Analyzier - Inputs'!$E$9*K42*'Analyzier - Inputs'!$E$4*'Analyzier - Inputs'!$B$4*'Analyzier - Inputs'!$H$9</f>
        <v>44576.584904347823</v>
      </c>
      <c r="R42" s="61">
        <f>('Analyzier - Inputs'!$F$9/1000)*'Analyzier - Inputs'!$C$22*24*(365/12)*'Analyzier - Inputs'!$B$4*'Analyzier - Inputs'!$H$9</f>
        <v>18934.448</v>
      </c>
      <c r="S42" s="61">
        <f>(Q42-R42)*'Analyzier - Inputs'!$F$4*(1-'Analyzier - Inputs'!$I$4)</f>
        <v>23590.765951999998</v>
      </c>
      <c r="T42" s="61">
        <f t="shared" si="13"/>
        <v>517890.63807999966</v>
      </c>
      <c r="U42">
        <f t="shared" si="4"/>
        <v>0</v>
      </c>
      <c r="V42" s="60">
        <f>'Analyzier - Inputs'!$E$10*K42*'Analyzier - Inputs'!$E$4*'Analyzier - Inputs'!$B$4*'Analyzier - Inputs'!$H$10</f>
        <v>31904.251826086962</v>
      </c>
      <c r="W42" s="61">
        <f>('Analyzier - Inputs'!$F$10/1000)*'Analyzier - Inputs'!$C$22*24*(365/12)*'Analyzier - Inputs'!$B$4*'Analyzier - Inputs'!$H$10</f>
        <v>18972.408000000003</v>
      </c>
      <c r="X42" s="61">
        <f>(V42-W42)*'Analyzier - Inputs'!$F$4*(1-'Analyzier - Inputs'!$I$4)</f>
        <v>11897.296320000003</v>
      </c>
      <c r="Y42" s="61">
        <f t="shared" si="14"/>
        <v>287711.85280000011</v>
      </c>
      <c r="Z42">
        <f t="shared" si="5"/>
        <v>0</v>
      </c>
      <c r="AA42" s="60">
        <f>'Analyzier - Inputs'!$E$11*K42*'Analyzier - Inputs'!$E$4*'Analyzier - Inputs'!$B$4*'Analyzier - Inputs'!$H$11</f>
        <v>64311.196695652179</v>
      </c>
      <c r="AB42" s="61">
        <f>('Analyzier - Inputs'!$F$11/1000)*'Analyzier - Inputs'!$C$22*24*(365/12)*'Analyzier - Inputs'!$B$4*'Analyzier - Inputs'!$H$11</f>
        <v>18978.102000000003</v>
      </c>
      <c r="AC42" s="61">
        <f>(AA42-AB42)*'Analyzier - Inputs'!$F$4*(1-'Analyzier - Inputs'!$I$4)</f>
        <v>41706.447120000004</v>
      </c>
      <c r="AD42" s="61">
        <f t="shared" si="15"/>
        <v>918277.8848000007</v>
      </c>
      <c r="AE42">
        <f t="shared" si="6"/>
        <v>0</v>
      </c>
      <c r="AF42" s="60">
        <f>'Analyzier - Inputs'!$E$12*K42*'Analyzier - Inputs'!$E$4*'Analyzier - Inputs'!$B$4*'Analyzier - Inputs'!$H$12</f>
        <v>46761.624000000011</v>
      </c>
      <c r="AG42" s="61">
        <f>('Analyzier - Inputs'!$F$12/1000)*'Analyzier - Inputs'!$C$22*24*(365/12)*'Analyzier - Inputs'!$B$4*'Analyzier - Inputs'!$H$12</f>
        <v>18945.836000000003</v>
      </c>
      <c r="AH42" s="61">
        <f>(AF42-AG42)*'Analyzier - Inputs'!$F$4*(1-'Analyzier - Inputs'!$I$4)</f>
        <v>25590.52496000001</v>
      </c>
      <c r="AI42" s="61">
        <f t="shared" si="16"/>
        <v>638320.99840000062</v>
      </c>
      <c r="AJ42">
        <f t="shared" si="7"/>
        <v>0</v>
      </c>
      <c r="AK42" s="60">
        <f>'Analyzier - Inputs'!$E$13*K42*'Analyzier - Inputs'!$E$4*'Analyzier - Inputs'!$B$4*'Analyzier - Inputs'!$H$13*'Analyzier - Inputs'!$G$4*'Analyzier - Inputs'!$H$4</f>
        <v>52977.144208695667</v>
      </c>
      <c r="AL42" s="61">
        <f>('Analyzier - Inputs'!$F$12/1000)*'Analyzier - Inputs'!$C$22*24*(365/12)*'Analyzier - Inputs'!$B$4*'Analyzier - Inputs'!$H$12</f>
        <v>18945.836000000003</v>
      </c>
      <c r="AM42" s="61">
        <f>(AK42-AL42)*'Analyzier - Inputs'!$F$4</f>
        <v>34031.308208695664</v>
      </c>
      <c r="AN42" s="61">
        <f t="shared" si="17"/>
        <v>738866.33137113065</v>
      </c>
      <c r="AO42">
        <f t="shared" si="8"/>
        <v>0</v>
      </c>
      <c r="AP42" s="60">
        <f>'Analyzier - Inputs'!$E$14*K42*'Analyzier - Inputs'!$E$4*'Analyzier - Inputs'!$B$4*'Analyzier - Inputs'!$H$14*'Analyzier - Inputs'!$G$4*'Analyzier - Inputs'!$H$4</f>
        <v>65685.224347826093</v>
      </c>
      <c r="AQ42" s="61">
        <f>('Analyzier - Inputs'!$F$12/1000)*'Analyzier - Inputs'!$C$22*24*(365/12)*'Analyzier - Inputs'!$B$4*'Analyzier - Inputs'!$H$12</f>
        <v>18945.836000000003</v>
      </c>
      <c r="AR42" s="61">
        <f>(AP42-AQ42)*'Analyzier - Inputs'!$F$4</f>
        <v>46739.38834782609</v>
      </c>
      <c r="AS42" s="61">
        <f t="shared" si="18"/>
        <v>994172.8905252174</v>
      </c>
      <c r="AT42">
        <f t="shared" si="9"/>
        <v>0</v>
      </c>
    </row>
    <row r="43" spans="1:46" x14ac:dyDescent="0.2">
      <c r="A43" s="31" t="s">
        <v>80</v>
      </c>
      <c r="B43" s="30">
        <v>45231</v>
      </c>
      <c r="C43" s="31">
        <f t="shared" si="0"/>
        <v>4</v>
      </c>
      <c r="D43" s="31">
        <v>41</v>
      </c>
      <c r="E43" s="29">
        <f t="shared" si="20"/>
        <v>115000</v>
      </c>
      <c r="F43" s="36">
        <f t="shared" si="20"/>
        <v>9000</v>
      </c>
      <c r="G43" s="36">
        <v>6.25</v>
      </c>
      <c r="H43" s="36">
        <f t="shared" si="1"/>
        <v>27450</v>
      </c>
      <c r="I43" s="37">
        <f>H43*'Analyzier - Inputs'!$D$4</f>
        <v>1098</v>
      </c>
      <c r="J43" s="36">
        <f t="shared" si="2"/>
        <v>28548</v>
      </c>
      <c r="K43" s="84">
        <f t="shared" si="11"/>
        <v>2.4824347826086959E-4</v>
      </c>
      <c r="L43" s="60">
        <f>'Analyzier - Inputs'!$E$8*K43*'Analyzier - Inputs'!$E$4*'Analyzier - Inputs'!$B$4*'Analyzier - Inputs'!$H$8</f>
        <v>55832.440695652178</v>
      </c>
      <c r="M43" s="61">
        <f>('Analyzier - Inputs'!$F$8/1000)*'Analyzier - Inputs'!$C$22*24*(365/12)*'Analyzier - Inputs'!$B$4*'Analyzier - Inputs'!$H$8</f>
        <v>18972.408000000003</v>
      </c>
      <c r="N43" s="61">
        <f>(L43-M43)*'Analyzier - Inputs'!$F$4*(1-'Analyzier - Inputs'!$I$4)</f>
        <v>33911.230080000001</v>
      </c>
      <c r="O43" s="43">
        <f t="shared" si="12"/>
        <v>780780.43328000023</v>
      </c>
      <c r="P43">
        <f t="shared" si="3"/>
        <v>0</v>
      </c>
      <c r="Q43" s="60">
        <f>'Analyzier - Inputs'!$E$9*K43*'Analyzier - Inputs'!$E$4*'Analyzier - Inputs'!$B$4*'Analyzier - Inputs'!$H$9</f>
        <v>44576.584904347823</v>
      </c>
      <c r="R43" s="61">
        <f>('Analyzier - Inputs'!$F$9/1000)*'Analyzier - Inputs'!$C$22*24*(365/12)*'Analyzier - Inputs'!$B$4*'Analyzier - Inputs'!$H$9</f>
        <v>18934.448</v>
      </c>
      <c r="S43" s="61">
        <f>(Q43-R43)*'Analyzier - Inputs'!$F$4*(1-'Analyzier - Inputs'!$I$4)</f>
        <v>23590.765951999998</v>
      </c>
      <c r="T43" s="61">
        <f t="shared" si="13"/>
        <v>541481.40403199964</v>
      </c>
      <c r="U43">
        <f t="shared" si="4"/>
        <v>0</v>
      </c>
      <c r="V43" s="60">
        <f>'Analyzier - Inputs'!$E$10*K43*'Analyzier - Inputs'!$E$4*'Analyzier - Inputs'!$B$4*'Analyzier - Inputs'!$H$10</f>
        <v>31904.251826086962</v>
      </c>
      <c r="W43" s="61">
        <f>('Analyzier - Inputs'!$F$10/1000)*'Analyzier - Inputs'!$C$22*24*(365/12)*'Analyzier - Inputs'!$B$4*'Analyzier - Inputs'!$H$10</f>
        <v>18972.408000000003</v>
      </c>
      <c r="X43" s="61">
        <f>(V43-W43)*'Analyzier - Inputs'!$F$4*(1-'Analyzier - Inputs'!$I$4)</f>
        <v>11897.296320000003</v>
      </c>
      <c r="Y43" s="61">
        <f t="shared" si="14"/>
        <v>299609.14912000013</v>
      </c>
      <c r="Z43">
        <f t="shared" si="5"/>
        <v>0</v>
      </c>
      <c r="AA43" s="60">
        <f>'Analyzier - Inputs'!$E$11*K43*'Analyzier - Inputs'!$E$4*'Analyzier - Inputs'!$B$4*'Analyzier - Inputs'!$H$11</f>
        <v>64311.196695652179</v>
      </c>
      <c r="AB43" s="61">
        <f>('Analyzier - Inputs'!$F$11/1000)*'Analyzier - Inputs'!$C$22*24*(365/12)*'Analyzier - Inputs'!$B$4*'Analyzier - Inputs'!$H$11</f>
        <v>18978.102000000003</v>
      </c>
      <c r="AC43" s="61">
        <f>(AA43-AB43)*'Analyzier - Inputs'!$F$4*(1-'Analyzier - Inputs'!$I$4)</f>
        <v>41706.447120000004</v>
      </c>
      <c r="AD43" s="61">
        <f t="shared" si="15"/>
        <v>959984.33192000072</v>
      </c>
      <c r="AE43">
        <f t="shared" si="6"/>
        <v>0</v>
      </c>
      <c r="AF43" s="60">
        <f>'Analyzier - Inputs'!$E$12*K43*'Analyzier - Inputs'!$E$4*'Analyzier - Inputs'!$B$4*'Analyzier - Inputs'!$H$12</f>
        <v>46761.624000000011</v>
      </c>
      <c r="AG43" s="61">
        <f>('Analyzier - Inputs'!$F$12/1000)*'Analyzier - Inputs'!$C$22*24*(365/12)*'Analyzier - Inputs'!$B$4*'Analyzier - Inputs'!$H$12</f>
        <v>18945.836000000003</v>
      </c>
      <c r="AH43" s="61">
        <f>(AF43-AG43)*'Analyzier - Inputs'!$F$4*(1-'Analyzier - Inputs'!$I$4)</f>
        <v>25590.52496000001</v>
      </c>
      <c r="AI43" s="61">
        <f t="shared" si="16"/>
        <v>663911.52336000069</v>
      </c>
      <c r="AJ43">
        <f t="shared" si="7"/>
        <v>0</v>
      </c>
      <c r="AK43" s="60">
        <f>'Analyzier - Inputs'!$E$13*K43*'Analyzier - Inputs'!$E$4*'Analyzier - Inputs'!$B$4*'Analyzier - Inputs'!$H$13*'Analyzier - Inputs'!$G$4*'Analyzier - Inputs'!$H$4</f>
        <v>52977.144208695667</v>
      </c>
      <c r="AL43" s="61">
        <f>('Analyzier - Inputs'!$F$12/1000)*'Analyzier - Inputs'!$C$22*24*(365/12)*'Analyzier - Inputs'!$B$4*'Analyzier - Inputs'!$H$12</f>
        <v>18945.836000000003</v>
      </c>
      <c r="AM43" s="61">
        <f>(AK43-AL43)*'Analyzier - Inputs'!$F$4</f>
        <v>34031.308208695664</v>
      </c>
      <c r="AN43" s="61">
        <f t="shared" si="17"/>
        <v>772897.63957982627</v>
      </c>
      <c r="AO43">
        <f t="shared" si="8"/>
        <v>0</v>
      </c>
      <c r="AP43" s="60">
        <f>'Analyzier - Inputs'!$E$14*K43*'Analyzier - Inputs'!$E$4*'Analyzier - Inputs'!$B$4*'Analyzier - Inputs'!$H$14*'Analyzier - Inputs'!$G$4*'Analyzier - Inputs'!$H$4</f>
        <v>65685.224347826093</v>
      </c>
      <c r="AQ43" s="61">
        <f>('Analyzier - Inputs'!$F$12/1000)*'Analyzier - Inputs'!$C$22*24*(365/12)*'Analyzier - Inputs'!$B$4*'Analyzier - Inputs'!$H$12</f>
        <v>18945.836000000003</v>
      </c>
      <c r="AR43" s="61">
        <f>(AP43-AQ43)*'Analyzier - Inputs'!$F$4</f>
        <v>46739.38834782609</v>
      </c>
      <c r="AS43" s="61">
        <f t="shared" si="18"/>
        <v>1040912.2788730435</v>
      </c>
      <c r="AT43">
        <f t="shared" si="9"/>
        <v>0</v>
      </c>
    </row>
    <row r="44" spans="1:46" x14ac:dyDescent="0.2">
      <c r="A44" s="31" t="s">
        <v>81</v>
      </c>
      <c r="B44" s="30">
        <v>45261</v>
      </c>
      <c r="C44" s="31">
        <f t="shared" si="0"/>
        <v>4</v>
      </c>
      <c r="D44" s="31">
        <v>42</v>
      </c>
      <c r="E44" s="29">
        <f t="shared" si="20"/>
        <v>115000</v>
      </c>
      <c r="F44" s="36">
        <f t="shared" si="20"/>
        <v>9000</v>
      </c>
      <c r="G44" s="36">
        <v>6.25</v>
      </c>
      <c r="H44" s="36">
        <f t="shared" si="1"/>
        <v>27450</v>
      </c>
      <c r="I44" s="37">
        <f>H44*'Analyzier - Inputs'!$D$4</f>
        <v>1098</v>
      </c>
      <c r="J44" s="36">
        <f t="shared" si="2"/>
        <v>28548</v>
      </c>
      <c r="K44" s="84">
        <f t="shared" si="11"/>
        <v>2.4824347826086959E-4</v>
      </c>
      <c r="L44" s="60">
        <f>'Analyzier - Inputs'!$E$8*K44*'Analyzier - Inputs'!$E$4*'Analyzier - Inputs'!$B$4*'Analyzier - Inputs'!$H$8</f>
        <v>55832.440695652178</v>
      </c>
      <c r="M44" s="61">
        <f>('Analyzier - Inputs'!$F$8/1000)*'Analyzier - Inputs'!$C$22*24*(365/12)*'Analyzier - Inputs'!$B$4*'Analyzier - Inputs'!$H$8</f>
        <v>18972.408000000003</v>
      </c>
      <c r="N44" s="61">
        <f>(L44-M44)*'Analyzier - Inputs'!$F$4*(1-'Analyzier - Inputs'!$I$4)</f>
        <v>33911.230080000001</v>
      </c>
      <c r="O44" s="43">
        <f t="shared" si="12"/>
        <v>814691.66336000024</v>
      </c>
      <c r="P44">
        <f t="shared" si="3"/>
        <v>0</v>
      </c>
      <c r="Q44" s="60">
        <f>'Analyzier - Inputs'!$E$9*K44*'Analyzier - Inputs'!$E$4*'Analyzier - Inputs'!$B$4*'Analyzier - Inputs'!$H$9</f>
        <v>44576.584904347823</v>
      </c>
      <c r="R44" s="61">
        <f>('Analyzier - Inputs'!$F$9/1000)*'Analyzier - Inputs'!$C$22*24*(365/12)*'Analyzier - Inputs'!$B$4*'Analyzier - Inputs'!$H$9</f>
        <v>18934.448</v>
      </c>
      <c r="S44" s="61">
        <f>(Q44-R44)*'Analyzier - Inputs'!$F$4*(1-'Analyzier - Inputs'!$I$4)</f>
        <v>23590.765951999998</v>
      </c>
      <c r="T44" s="61">
        <f t="shared" si="13"/>
        <v>565072.16998399969</v>
      </c>
      <c r="U44">
        <f t="shared" si="4"/>
        <v>0</v>
      </c>
      <c r="V44" s="60">
        <f>'Analyzier - Inputs'!$E$10*K44*'Analyzier - Inputs'!$E$4*'Analyzier - Inputs'!$B$4*'Analyzier - Inputs'!$H$10</f>
        <v>31904.251826086962</v>
      </c>
      <c r="W44" s="61">
        <f>('Analyzier - Inputs'!$F$10/1000)*'Analyzier - Inputs'!$C$22*24*(365/12)*'Analyzier - Inputs'!$B$4*'Analyzier - Inputs'!$H$10</f>
        <v>18972.408000000003</v>
      </c>
      <c r="X44" s="61">
        <f>(V44-W44)*'Analyzier - Inputs'!$F$4*(1-'Analyzier - Inputs'!$I$4)</f>
        <v>11897.296320000003</v>
      </c>
      <c r="Y44" s="61">
        <f t="shared" si="14"/>
        <v>311506.44544000016</v>
      </c>
      <c r="Z44">
        <f t="shared" si="5"/>
        <v>0</v>
      </c>
      <c r="AA44" s="60">
        <f>'Analyzier - Inputs'!$E$11*K44*'Analyzier - Inputs'!$E$4*'Analyzier - Inputs'!$B$4*'Analyzier - Inputs'!$H$11</f>
        <v>64311.196695652179</v>
      </c>
      <c r="AB44" s="61">
        <f>('Analyzier - Inputs'!$F$11/1000)*'Analyzier - Inputs'!$C$22*24*(365/12)*'Analyzier - Inputs'!$B$4*'Analyzier - Inputs'!$H$11</f>
        <v>18978.102000000003</v>
      </c>
      <c r="AC44" s="61">
        <f>(AA44-AB44)*'Analyzier - Inputs'!$F$4*(1-'Analyzier - Inputs'!$I$4)</f>
        <v>41706.447120000004</v>
      </c>
      <c r="AD44" s="61">
        <f t="shared" si="15"/>
        <v>1001690.7790400008</v>
      </c>
      <c r="AE44">
        <f t="shared" si="6"/>
        <v>0</v>
      </c>
      <c r="AF44" s="60">
        <f>'Analyzier - Inputs'!$E$12*K44*'Analyzier - Inputs'!$E$4*'Analyzier - Inputs'!$B$4*'Analyzier - Inputs'!$H$12</f>
        <v>46761.624000000011</v>
      </c>
      <c r="AG44" s="61">
        <f>('Analyzier - Inputs'!$F$12/1000)*'Analyzier - Inputs'!$C$22*24*(365/12)*'Analyzier - Inputs'!$B$4*'Analyzier - Inputs'!$H$12</f>
        <v>18945.836000000003</v>
      </c>
      <c r="AH44" s="61">
        <f>(AF44-AG44)*'Analyzier - Inputs'!$F$4*(1-'Analyzier - Inputs'!$I$4)</f>
        <v>25590.52496000001</v>
      </c>
      <c r="AI44" s="61">
        <f t="shared" si="16"/>
        <v>689502.04832000076</v>
      </c>
      <c r="AJ44">
        <f t="shared" si="7"/>
        <v>0</v>
      </c>
      <c r="AK44" s="60">
        <f>'Analyzier - Inputs'!$E$13*K44*'Analyzier - Inputs'!$E$4*'Analyzier - Inputs'!$B$4*'Analyzier - Inputs'!$H$13*'Analyzier - Inputs'!$G$4*'Analyzier - Inputs'!$H$4</f>
        <v>52977.144208695667</v>
      </c>
      <c r="AL44" s="61">
        <f>('Analyzier - Inputs'!$F$12/1000)*'Analyzier - Inputs'!$C$22*24*(365/12)*'Analyzier - Inputs'!$B$4*'Analyzier - Inputs'!$H$12</f>
        <v>18945.836000000003</v>
      </c>
      <c r="AM44" s="61">
        <f>(AK44-AL44)*'Analyzier - Inputs'!$F$4</f>
        <v>34031.308208695664</v>
      </c>
      <c r="AN44" s="61">
        <f t="shared" si="17"/>
        <v>806928.94778852188</v>
      </c>
      <c r="AO44">
        <f t="shared" si="8"/>
        <v>0</v>
      </c>
      <c r="AP44" s="60">
        <f>'Analyzier - Inputs'!$E$14*K44*'Analyzier - Inputs'!$E$4*'Analyzier - Inputs'!$B$4*'Analyzier - Inputs'!$H$14*'Analyzier - Inputs'!$G$4*'Analyzier - Inputs'!$H$4</f>
        <v>65685.224347826093</v>
      </c>
      <c r="AQ44" s="61">
        <f>('Analyzier - Inputs'!$F$12/1000)*'Analyzier - Inputs'!$C$22*24*(365/12)*'Analyzier - Inputs'!$B$4*'Analyzier - Inputs'!$H$12</f>
        <v>18945.836000000003</v>
      </c>
      <c r="AR44" s="61">
        <f>(AP44-AQ44)*'Analyzier - Inputs'!$F$4</f>
        <v>46739.38834782609</v>
      </c>
      <c r="AS44" s="61">
        <f t="shared" si="18"/>
        <v>1087651.6672208696</v>
      </c>
      <c r="AT44">
        <f t="shared" si="9"/>
        <v>0</v>
      </c>
    </row>
    <row r="45" spans="1:46" x14ac:dyDescent="0.2">
      <c r="A45" s="31" t="s">
        <v>82</v>
      </c>
      <c r="B45" s="30">
        <v>45292</v>
      </c>
      <c r="C45" s="31">
        <f t="shared" si="0"/>
        <v>4</v>
      </c>
      <c r="D45" s="31">
        <v>43</v>
      </c>
      <c r="E45" s="29">
        <f t="shared" si="20"/>
        <v>115000</v>
      </c>
      <c r="F45" s="36">
        <f t="shared" si="20"/>
        <v>9000</v>
      </c>
      <c r="G45" s="36">
        <v>6.25</v>
      </c>
      <c r="H45" s="36">
        <f t="shared" si="1"/>
        <v>27450</v>
      </c>
      <c r="I45" s="37">
        <f>H45*'Analyzier - Inputs'!$D$4</f>
        <v>1098</v>
      </c>
      <c r="J45" s="36">
        <f t="shared" si="2"/>
        <v>28548</v>
      </c>
      <c r="K45" s="84">
        <f t="shared" si="11"/>
        <v>2.4824347826086959E-4</v>
      </c>
      <c r="L45" s="60">
        <f>'Analyzier - Inputs'!$E$8*K45*'Analyzier - Inputs'!$E$4*'Analyzier - Inputs'!$B$4*'Analyzier - Inputs'!$H$8</f>
        <v>55832.440695652178</v>
      </c>
      <c r="M45" s="61">
        <f>('Analyzier - Inputs'!$F$8/1000)*'Analyzier - Inputs'!$C$22*24*(365/12)*'Analyzier - Inputs'!$B$4*'Analyzier - Inputs'!$H$8</f>
        <v>18972.408000000003</v>
      </c>
      <c r="N45" s="61">
        <f>(L45-M45)*'Analyzier - Inputs'!$F$4*(1-'Analyzier - Inputs'!$I$4)</f>
        <v>33911.230080000001</v>
      </c>
      <c r="O45" s="43">
        <f t="shared" si="12"/>
        <v>848602.89344000025</v>
      </c>
      <c r="P45">
        <f t="shared" si="3"/>
        <v>0</v>
      </c>
      <c r="Q45" s="60">
        <f>'Analyzier - Inputs'!$E$9*K45*'Analyzier - Inputs'!$E$4*'Analyzier - Inputs'!$B$4*'Analyzier - Inputs'!$H$9</f>
        <v>44576.584904347823</v>
      </c>
      <c r="R45" s="61">
        <f>('Analyzier - Inputs'!$F$9/1000)*'Analyzier - Inputs'!$C$22*24*(365/12)*'Analyzier - Inputs'!$B$4*'Analyzier - Inputs'!$H$9</f>
        <v>18934.448</v>
      </c>
      <c r="S45" s="61">
        <f>(Q45-R45)*'Analyzier - Inputs'!$F$4*(1-'Analyzier - Inputs'!$I$4)</f>
        <v>23590.765951999998</v>
      </c>
      <c r="T45" s="61">
        <f t="shared" si="13"/>
        <v>588662.93593599973</v>
      </c>
      <c r="U45">
        <f t="shared" si="4"/>
        <v>0</v>
      </c>
      <c r="V45" s="60">
        <f>'Analyzier - Inputs'!$E$10*K45*'Analyzier - Inputs'!$E$4*'Analyzier - Inputs'!$B$4*'Analyzier - Inputs'!$H$10</f>
        <v>31904.251826086962</v>
      </c>
      <c r="W45" s="61">
        <f>('Analyzier - Inputs'!$F$10/1000)*'Analyzier - Inputs'!$C$22*24*(365/12)*'Analyzier - Inputs'!$B$4*'Analyzier - Inputs'!$H$10</f>
        <v>18972.408000000003</v>
      </c>
      <c r="X45" s="61">
        <f>(V45-W45)*'Analyzier - Inputs'!$F$4*(1-'Analyzier - Inputs'!$I$4)</f>
        <v>11897.296320000003</v>
      </c>
      <c r="Y45" s="61">
        <f t="shared" si="14"/>
        <v>323403.74176000018</v>
      </c>
      <c r="Z45">
        <f t="shared" si="5"/>
        <v>0</v>
      </c>
      <c r="AA45" s="60">
        <f>'Analyzier - Inputs'!$E$11*K45*'Analyzier - Inputs'!$E$4*'Analyzier - Inputs'!$B$4*'Analyzier - Inputs'!$H$11</f>
        <v>64311.196695652179</v>
      </c>
      <c r="AB45" s="61">
        <f>('Analyzier - Inputs'!$F$11/1000)*'Analyzier - Inputs'!$C$22*24*(365/12)*'Analyzier - Inputs'!$B$4*'Analyzier - Inputs'!$H$11</f>
        <v>18978.102000000003</v>
      </c>
      <c r="AC45" s="61">
        <f>(AA45-AB45)*'Analyzier - Inputs'!$F$4*(1-'Analyzier - Inputs'!$I$4)</f>
        <v>41706.447120000004</v>
      </c>
      <c r="AD45" s="61">
        <f t="shared" si="15"/>
        <v>1043397.2261600008</v>
      </c>
      <c r="AE45">
        <f t="shared" si="6"/>
        <v>0</v>
      </c>
      <c r="AF45" s="60">
        <f>'Analyzier - Inputs'!$E$12*K45*'Analyzier - Inputs'!$E$4*'Analyzier - Inputs'!$B$4*'Analyzier - Inputs'!$H$12</f>
        <v>46761.624000000011</v>
      </c>
      <c r="AG45" s="61">
        <f>('Analyzier - Inputs'!$F$12/1000)*'Analyzier - Inputs'!$C$22*24*(365/12)*'Analyzier - Inputs'!$B$4*'Analyzier - Inputs'!$H$12</f>
        <v>18945.836000000003</v>
      </c>
      <c r="AH45" s="61">
        <f>(AF45-AG45)*'Analyzier - Inputs'!$F$4*(1-'Analyzier - Inputs'!$I$4)</f>
        <v>25590.52496000001</v>
      </c>
      <c r="AI45" s="61">
        <f t="shared" si="16"/>
        <v>715092.57328000083</v>
      </c>
      <c r="AJ45">
        <f t="shared" si="7"/>
        <v>0</v>
      </c>
      <c r="AK45" s="60">
        <f>'Analyzier - Inputs'!$E$13*K45*'Analyzier - Inputs'!$E$4*'Analyzier - Inputs'!$B$4*'Analyzier - Inputs'!$H$13*'Analyzier - Inputs'!$G$4*'Analyzier - Inputs'!$H$4</f>
        <v>52977.144208695667</v>
      </c>
      <c r="AL45" s="61">
        <f>('Analyzier - Inputs'!$F$12/1000)*'Analyzier - Inputs'!$C$22*24*(365/12)*'Analyzier - Inputs'!$B$4*'Analyzier - Inputs'!$H$12</f>
        <v>18945.836000000003</v>
      </c>
      <c r="AM45" s="61">
        <f>(AK45-AL45)*'Analyzier - Inputs'!$F$4</f>
        <v>34031.308208695664</v>
      </c>
      <c r="AN45" s="61">
        <f t="shared" si="17"/>
        <v>840960.25599721749</v>
      </c>
      <c r="AO45">
        <f t="shared" si="8"/>
        <v>0</v>
      </c>
      <c r="AP45" s="60">
        <f>'Analyzier - Inputs'!$E$14*K45*'Analyzier - Inputs'!$E$4*'Analyzier - Inputs'!$B$4*'Analyzier - Inputs'!$H$14*'Analyzier - Inputs'!$G$4*'Analyzier - Inputs'!$H$4</f>
        <v>65685.224347826093</v>
      </c>
      <c r="AQ45" s="61">
        <f>('Analyzier - Inputs'!$F$12/1000)*'Analyzier - Inputs'!$C$22*24*(365/12)*'Analyzier - Inputs'!$B$4*'Analyzier - Inputs'!$H$12</f>
        <v>18945.836000000003</v>
      </c>
      <c r="AR45" s="61">
        <f>(AP45-AQ45)*'Analyzier - Inputs'!$F$4</f>
        <v>46739.38834782609</v>
      </c>
      <c r="AS45" s="61">
        <f t="shared" si="18"/>
        <v>1134391.0555686958</v>
      </c>
      <c r="AT45">
        <f t="shared" si="9"/>
        <v>0</v>
      </c>
    </row>
    <row r="46" spans="1:46" x14ac:dyDescent="0.2">
      <c r="A46" s="31" t="s">
        <v>83</v>
      </c>
      <c r="B46" s="30">
        <v>45323</v>
      </c>
      <c r="C46" s="31">
        <f t="shared" si="0"/>
        <v>4</v>
      </c>
      <c r="D46" s="31">
        <v>44</v>
      </c>
      <c r="E46" s="29">
        <f t="shared" si="20"/>
        <v>115000</v>
      </c>
      <c r="F46" s="36">
        <f t="shared" si="20"/>
        <v>9000</v>
      </c>
      <c r="G46" s="36">
        <v>6.25</v>
      </c>
      <c r="H46" s="36">
        <f t="shared" si="1"/>
        <v>27450</v>
      </c>
      <c r="I46" s="37">
        <f>H46*'Analyzier - Inputs'!$D$4</f>
        <v>1098</v>
      </c>
      <c r="J46" s="36">
        <f t="shared" si="2"/>
        <v>28548</v>
      </c>
      <c r="K46" s="84">
        <f t="shared" si="11"/>
        <v>2.4824347826086959E-4</v>
      </c>
      <c r="L46" s="60">
        <f>'Analyzier - Inputs'!$E$8*K46*'Analyzier - Inputs'!$E$4*'Analyzier - Inputs'!$B$4*'Analyzier - Inputs'!$H$8</f>
        <v>55832.440695652178</v>
      </c>
      <c r="M46" s="61">
        <f>('Analyzier - Inputs'!$F$8/1000)*'Analyzier - Inputs'!$C$22*24*(365/12)*'Analyzier - Inputs'!$B$4*'Analyzier - Inputs'!$H$8</f>
        <v>18972.408000000003</v>
      </c>
      <c r="N46" s="61">
        <f>(L46-M46)*'Analyzier - Inputs'!$F$4*(1-'Analyzier - Inputs'!$I$4)</f>
        <v>33911.230080000001</v>
      </c>
      <c r="O46" s="43">
        <f t="shared" si="12"/>
        <v>882514.12352000026</v>
      </c>
      <c r="P46">
        <f t="shared" si="3"/>
        <v>0</v>
      </c>
      <c r="Q46" s="60">
        <f>'Analyzier - Inputs'!$E$9*K46*'Analyzier - Inputs'!$E$4*'Analyzier - Inputs'!$B$4*'Analyzier - Inputs'!$H$9</f>
        <v>44576.584904347823</v>
      </c>
      <c r="R46" s="61">
        <f>('Analyzier - Inputs'!$F$9/1000)*'Analyzier - Inputs'!$C$22*24*(365/12)*'Analyzier - Inputs'!$B$4*'Analyzier - Inputs'!$H$9</f>
        <v>18934.448</v>
      </c>
      <c r="S46" s="61">
        <f>(Q46-R46)*'Analyzier - Inputs'!$F$4*(1-'Analyzier - Inputs'!$I$4)</f>
        <v>23590.765951999998</v>
      </c>
      <c r="T46" s="61">
        <f t="shared" si="13"/>
        <v>612253.70188799978</v>
      </c>
      <c r="U46">
        <f t="shared" si="4"/>
        <v>0</v>
      </c>
      <c r="V46" s="60">
        <f>'Analyzier - Inputs'!$E$10*K46*'Analyzier - Inputs'!$E$4*'Analyzier - Inputs'!$B$4*'Analyzier - Inputs'!$H$10</f>
        <v>31904.251826086962</v>
      </c>
      <c r="W46" s="61">
        <f>('Analyzier - Inputs'!$F$10/1000)*'Analyzier - Inputs'!$C$22*24*(365/12)*'Analyzier - Inputs'!$B$4*'Analyzier - Inputs'!$H$10</f>
        <v>18972.408000000003</v>
      </c>
      <c r="X46" s="61">
        <f>(V46-W46)*'Analyzier - Inputs'!$F$4*(1-'Analyzier - Inputs'!$I$4)</f>
        <v>11897.296320000003</v>
      </c>
      <c r="Y46" s="61">
        <f t="shared" si="14"/>
        <v>335301.0380800002</v>
      </c>
      <c r="Z46">
        <f t="shared" si="5"/>
        <v>0</v>
      </c>
      <c r="AA46" s="60">
        <f>'Analyzier - Inputs'!$E$11*K46*'Analyzier - Inputs'!$E$4*'Analyzier - Inputs'!$B$4*'Analyzier - Inputs'!$H$11</f>
        <v>64311.196695652179</v>
      </c>
      <c r="AB46" s="61">
        <f>('Analyzier - Inputs'!$F$11/1000)*'Analyzier - Inputs'!$C$22*24*(365/12)*'Analyzier - Inputs'!$B$4*'Analyzier - Inputs'!$H$11</f>
        <v>18978.102000000003</v>
      </c>
      <c r="AC46" s="61">
        <f>(AA46-AB46)*'Analyzier - Inputs'!$F$4*(1-'Analyzier - Inputs'!$I$4)</f>
        <v>41706.447120000004</v>
      </c>
      <c r="AD46" s="61">
        <f t="shared" si="15"/>
        <v>1085103.6732800007</v>
      </c>
      <c r="AE46">
        <f t="shared" si="6"/>
        <v>0</v>
      </c>
      <c r="AF46" s="60">
        <f>'Analyzier - Inputs'!$E$12*K46*'Analyzier - Inputs'!$E$4*'Analyzier - Inputs'!$B$4*'Analyzier - Inputs'!$H$12</f>
        <v>46761.624000000011</v>
      </c>
      <c r="AG46" s="61">
        <f>('Analyzier - Inputs'!$F$12/1000)*'Analyzier - Inputs'!$C$22*24*(365/12)*'Analyzier - Inputs'!$B$4*'Analyzier - Inputs'!$H$12</f>
        <v>18945.836000000003</v>
      </c>
      <c r="AH46" s="61">
        <f>(AF46-AG46)*'Analyzier - Inputs'!$F$4*(1-'Analyzier - Inputs'!$I$4)</f>
        <v>25590.52496000001</v>
      </c>
      <c r="AI46" s="61">
        <f t="shared" si="16"/>
        <v>740683.09824000089</v>
      </c>
      <c r="AJ46">
        <f t="shared" si="7"/>
        <v>0</v>
      </c>
      <c r="AK46" s="60">
        <f>'Analyzier - Inputs'!$E$13*K46*'Analyzier - Inputs'!$E$4*'Analyzier - Inputs'!$B$4*'Analyzier - Inputs'!$H$13*'Analyzier - Inputs'!$G$4*'Analyzier - Inputs'!$H$4</f>
        <v>52977.144208695667</v>
      </c>
      <c r="AL46" s="61">
        <f>('Analyzier - Inputs'!$F$12/1000)*'Analyzier - Inputs'!$C$22*24*(365/12)*'Analyzier - Inputs'!$B$4*'Analyzier - Inputs'!$H$12</f>
        <v>18945.836000000003</v>
      </c>
      <c r="AM46" s="61">
        <f>(AK46-AL46)*'Analyzier - Inputs'!$F$4</f>
        <v>34031.308208695664</v>
      </c>
      <c r="AN46" s="61">
        <f t="shared" si="17"/>
        <v>874991.56420591311</v>
      </c>
      <c r="AO46">
        <f t="shared" si="8"/>
        <v>0</v>
      </c>
      <c r="AP46" s="60">
        <f>'Analyzier - Inputs'!$E$14*K46*'Analyzier - Inputs'!$E$4*'Analyzier - Inputs'!$B$4*'Analyzier - Inputs'!$H$14*'Analyzier - Inputs'!$G$4*'Analyzier - Inputs'!$H$4</f>
        <v>65685.224347826093</v>
      </c>
      <c r="AQ46" s="61">
        <f>('Analyzier - Inputs'!$F$12/1000)*'Analyzier - Inputs'!$C$22*24*(365/12)*'Analyzier - Inputs'!$B$4*'Analyzier - Inputs'!$H$12</f>
        <v>18945.836000000003</v>
      </c>
      <c r="AR46" s="61">
        <f>(AP46-AQ46)*'Analyzier - Inputs'!$F$4</f>
        <v>46739.38834782609</v>
      </c>
      <c r="AS46" s="61">
        <f t="shared" si="18"/>
        <v>1181130.443916522</v>
      </c>
      <c r="AT46">
        <f t="shared" si="9"/>
        <v>0</v>
      </c>
    </row>
    <row r="47" spans="1:46" x14ac:dyDescent="0.2">
      <c r="A47" s="31" t="s">
        <v>84</v>
      </c>
      <c r="B47" s="30">
        <v>45352</v>
      </c>
      <c r="C47" s="31">
        <f t="shared" si="0"/>
        <v>4</v>
      </c>
      <c r="D47" s="31">
        <v>45</v>
      </c>
      <c r="E47" s="29">
        <f t="shared" si="20"/>
        <v>115000</v>
      </c>
      <c r="F47" s="36">
        <f t="shared" si="20"/>
        <v>9000</v>
      </c>
      <c r="G47" s="36">
        <v>6.25</v>
      </c>
      <c r="H47" s="36">
        <f t="shared" si="1"/>
        <v>27450</v>
      </c>
      <c r="I47" s="37">
        <f>H47*'Analyzier - Inputs'!$D$4</f>
        <v>1098</v>
      </c>
      <c r="J47" s="36">
        <f t="shared" si="2"/>
        <v>28548</v>
      </c>
      <c r="K47" s="84">
        <f t="shared" si="11"/>
        <v>2.4824347826086959E-4</v>
      </c>
      <c r="L47" s="60">
        <f>'Analyzier - Inputs'!$E$8*K47*'Analyzier - Inputs'!$E$4*'Analyzier - Inputs'!$B$4*'Analyzier - Inputs'!$H$8</f>
        <v>55832.440695652178</v>
      </c>
      <c r="M47" s="61">
        <f>('Analyzier - Inputs'!$F$8/1000)*'Analyzier - Inputs'!$C$22*24*(365/12)*'Analyzier - Inputs'!$B$4*'Analyzier - Inputs'!$H$8</f>
        <v>18972.408000000003</v>
      </c>
      <c r="N47" s="61">
        <f>(L47-M47)*'Analyzier - Inputs'!$F$4*(1-'Analyzier - Inputs'!$I$4)</f>
        <v>33911.230080000001</v>
      </c>
      <c r="O47" s="43">
        <f t="shared" si="12"/>
        <v>916425.35360000026</v>
      </c>
      <c r="P47">
        <f t="shared" si="3"/>
        <v>0</v>
      </c>
      <c r="Q47" s="60">
        <f>'Analyzier - Inputs'!$E$9*K47*'Analyzier - Inputs'!$E$4*'Analyzier - Inputs'!$B$4*'Analyzier - Inputs'!$H$9</f>
        <v>44576.584904347823</v>
      </c>
      <c r="R47" s="61">
        <f>('Analyzier - Inputs'!$F$9/1000)*'Analyzier - Inputs'!$C$22*24*(365/12)*'Analyzier - Inputs'!$B$4*'Analyzier - Inputs'!$H$9</f>
        <v>18934.448</v>
      </c>
      <c r="S47" s="61">
        <f>(Q47-R47)*'Analyzier - Inputs'!$F$4*(1-'Analyzier - Inputs'!$I$4)</f>
        <v>23590.765951999998</v>
      </c>
      <c r="T47" s="61">
        <f t="shared" si="13"/>
        <v>635844.46783999982</v>
      </c>
      <c r="U47">
        <f t="shared" si="4"/>
        <v>0</v>
      </c>
      <c r="V47" s="60">
        <f>'Analyzier - Inputs'!$E$10*K47*'Analyzier - Inputs'!$E$4*'Analyzier - Inputs'!$B$4*'Analyzier - Inputs'!$H$10</f>
        <v>31904.251826086962</v>
      </c>
      <c r="W47" s="61">
        <f>('Analyzier - Inputs'!$F$10/1000)*'Analyzier - Inputs'!$C$22*24*(365/12)*'Analyzier - Inputs'!$B$4*'Analyzier - Inputs'!$H$10</f>
        <v>18972.408000000003</v>
      </c>
      <c r="X47" s="61">
        <f>(V47-W47)*'Analyzier - Inputs'!$F$4*(1-'Analyzier - Inputs'!$I$4)</f>
        <v>11897.296320000003</v>
      </c>
      <c r="Y47" s="61">
        <f t="shared" si="14"/>
        <v>347198.33440000023</v>
      </c>
      <c r="Z47">
        <f t="shared" si="5"/>
        <v>0</v>
      </c>
      <c r="AA47" s="60">
        <f>'Analyzier - Inputs'!$E$11*K47*'Analyzier - Inputs'!$E$4*'Analyzier - Inputs'!$B$4*'Analyzier - Inputs'!$H$11</f>
        <v>64311.196695652179</v>
      </c>
      <c r="AB47" s="61">
        <f>('Analyzier - Inputs'!$F$11/1000)*'Analyzier - Inputs'!$C$22*24*(365/12)*'Analyzier - Inputs'!$B$4*'Analyzier - Inputs'!$H$11</f>
        <v>18978.102000000003</v>
      </c>
      <c r="AC47" s="61">
        <f>(AA47-AB47)*'Analyzier - Inputs'!$F$4*(1-'Analyzier - Inputs'!$I$4)</f>
        <v>41706.447120000004</v>
      </c>
      <c r="AD47" s="61">
        <f t="shared" si="15"/>
        <v>1126810.1204000006</v>
      </c>
      <c r="AE47">
        <f t="shared" si="6"/>
        <v>0</v>
      </c>
      <c r="AF47" s="60">
        <f>'Analyzier - Inputs'!$E$12*K47*'Analyzier - Inputs'!$E$4*'Analyzier - Inputs'!$B$4*'Analyzier - Inputs'!$H$12</f>
        <v>46761.624000000011</v>
      </c>
      <c r="AG47" s="61">
        <f>('Analyzier - Inputs'!$F$12/1000)*'Analyzier - Inputs'!$C$22*24*(365/12)*'Analyzier - Inputs'!$B$4*'Analyzier - Inputs'!$H$12</f>
        <v>18945.836000000003</v>
      </c>
      <c r="AH47" s="61">
        <f>(AF47-AG47)*'Analyzier - Inputs'!$F$4*(1-'Analyzier - Inputs'!$I$4)</f>
        <v>25590.52496000001</v>
      </c>
      <c r="AI47" s="61">
        <f t="shared" si="16"/>
        <v>766273.62320000096</v>
      </c>
      <c r="AJ47">
        <f t="shared" si="7"/>
        <v>0</v>
      </c>
      <c r="AK47" s="60">
        <f>'Analyzier - Inputs'!$E$13*K47*'Analyzier - Inputs'!$E$4*'Analyzier - Inputs'!$B$4*'Analyzier - Inputs'!$H$13*'Analyzier - Inputs'!$G$4*'Analyzier - Inputs'!$H$4</f>
        <v>52977.144208695667</v>
      </c>
      <c r="AL47" s="61">
        <f>('Analyzier - Inputs'!$F$12/1000)*'Analyzier - Inputs'!$C$22*24*(365/12)*'Analyzier - Inputs'!$B$4*'Analyzier - Inputs'!$H$12</f>
        <v>18945.836000000003</v>
      </c>
      <c r="AM47" s="61">
        <f>(AK47-AL47)*'Analyzier - Inputs'!$F$4</f>
        <v>34031.308208695664</v>
      </c>
      <c r="AN47" s="61">
        <f t="shared" si="17"/>
        <v>909022.87241460872</v>
      </c>
      <c r="AO47">
        <f t="shared" si="8"/>
        <v>0</v>
      </c>
      <c r="AP47" s="60">
        <f>'Analyzier - Inputs'!$E$14*K47*'Analyzier - Inputs'!$E$4*'Analyzier - Inputs'!$B$4*'Analyzier - Inputs'!$H$14*'Analyzier - Inputs'!$G$4*'Analyzier - Inputs'!$H$4</f>
        <v>65685.224347826093</v>
      </c>
      <c r="AQ47" s="61">
        <f>('Analyzier - Inputs'!$F$12/1000)*'Analyzier - Inputs'!$C$22*24*(365/12)*'Analyzier - Inputs'!$B$4*'Analyzier - Inputs'!$H$12</f>
        <v>18945.836000000003</v>
      </c>
      <c r="AR47" s="61">
        <f>(AP47-AQ47)*'Analyzier - Inputs'!$F$4</f>
        <v>46739.38834782609</v>
      </c>
      <c r="AS47" s="61">
        <f t="shared" si="18"/>
        <v>1227869.8322643482</v>
      </c>
      <c r="AT47">
        <f t="shared" si="9"/>
        <v>0</v>
      </c>
    </row>
    <row r="48" spans="1:46" x14ac:dyDescent="0.2">
      <c r="A48" s="31" t="s">
        <v>85</v>
      </c>
      <c r="B48" s="30">
        <v>45383</v>
      </c>
      <c r="C48" s="31">
        <f t="shared" si="0"/>
        <v>4</v>
      </c>
      <c r="D48" s="31">
        <v>46</v>
      </c>
      <c r="E48" s="29">
        <f t="shared" si="20"/>
        <v>115000</v>
      </c>
      <c r="F48" s="36">
        <f t="shared" si="20"/>
        <v>9000</v>
      </c>
      <c r="G48" s="36">
        <v>6.25</v>
      </c>
      <c r="H48" s="36">
        <f t="shared" si="1"/>
        <v>27450</v>
      </c>
      <c r="I48" s="37">
        <f>H48*'Analyzier - Inputs'!$D$4</f>
        <v>1098</v>
      </c>
      <c r="J48" s="36">
        <f t="shared" si="2"/>
        <v>28548</v>
      </c>
      <c r="K48" s="84">
        <f t="shared" si="11"/>
        <v>2.4824347826086959E-4</v>
      </c>
      <c r="L48" s="60">
        <f>'Analyzier - Inputs'!$E$8*K48*'Analyzier - Inputs'!$E$4*'Analyzier - Inputs'!$B$4*'Analyzier - Inputs'!$H$8</f>
        <v>55832.440695652178</v>
      </c>
      <c r="M48" s="61">
        <f>('Analyzier - Inputs'!$F$8/1000)*'Analyzier - Inputs'!$C$22*24*(365/12)*'Analyzier - Inputs'!$B$4*'Analyzier - Inputs'!$H$8</f>
        <v>18972.408000000003</v>
      </c>
      <c r="N48" s="61">
        <f>(L48-M48)*'Analyzier - Inputs'!$F$4*(1-'Analyzier - Inputs'!$I$4)</f>
        <v>33911.230080000001</v>
      </c>
      <c r="O48" s="43">
        <f t="shared" si="12"/>
        <v>950336.58368000027</v>
      </c>
      <c r="P48">
        <f t="shared" si="3"/>
        <v>0</v>
      </c>
      <c r="Q48" s="60">
        <f>'Analyzier - Inputs'!$E$9*K48*'Analyzier - Inputs'!$E$4*'Analyzier - Inputs'!$B$4*'Analyzier - Inputs'!$H$9</f>
        <v>44576.584904347823</v>
      </c>
      <c r="R48" s="61">
        <f>('Analyzier - Inputs'!$F$9/1000)*'Analyzier - Inputs'!$C$22*24*(365/12)*'Analyzier - Inputs'!$B$4*'Analyzier - Inputs'!$H$9</f>
        <v>18934.448</v>
      </c>
      <c r="S48" s="61">
        <f>(Q48-R48)*'Analyzier - Inputs'!$F$4*(1-'Analyzier - Inputs'!$I$4)</f>
        <v>23590.765951999998</v>
      </c>
      <c r="T48" s="61">
        <f t="shared" si="13"/>
        <v>659435.23379199987</v>
      </c>
      <c r="U48">
        <f t="shared" si="4"/>
        <v>0</v>
      </c>
      <c r="V48" s="60">
        <f>'Analyzier - Inputs'!$E$10*K48*'Analyzier - Inputs'!$E$4*'Analyzier - Inputs'!$B$4*'Analyzier - Inputs'!$H$10</f>
        <v>31904.251826086962</v>
      </c>
      <c r="W48" s="61">
        <f>('Analyzier - Inputs'!$F$10/1000)*'Analyzier - Inputs'!$C$22*24*(365/12)*'Analyzier - Inputs'!$B$4*'Analyzier - Inputs'!$H$10</f>
        <v>18972.408000000003</v>
      </c>
      <c r="X48" s="61">
        <f>(V48-W48)*'Analyzier - Inputs'!$F$4*(1-'Analyzier - Inputs'!$I$4)</f>
        <v>11897.296320000003</v>
      </c>
      <c r="Y48" s="61">
        <f t="shared" si="14"/>
        <v>359095.63072000025</v>
      </c>
      <c r="Z48">
        <f t="shared" si="5"/>
        <v>0</v>
      </c>
      <c r="AA48" s="60">
        <f>'Analyzier - Inputs'!$E$11*K48*'Analyzier - Inputs'!$E$4*'Analyzier - Inputs'!$B$4*'Analyzier - Inputs'!$H$11</f>
        <v>64311.196695652179</v>
      </c>
      <c r="AB48" s="61">
        <f>('Analyzier - Inputs'!$F$11/1000)*'Analyzier - Inputs'!$C$22*24*(365/12)*'Analyzier - Inputs'!$B$4*'Analyzier - Inputs'!$H$11</f>
        <v>18978.102000000003</v>
      </c>
      <c r="AC48" s="61">
        <f>(AA48-AB48)*'Analyzier - Inputs'!$F$4*(1-'Analyzier - Inputs'!$I$4)</f>
        <v>41706.447120000004</v>
      </c>
      <c r="AD48" s="61">
        <f t="shared" si="15"/>
        <v>1168516.5675200005</v>
      </c>
      <c r="AE48">
        <f t="shared" si="6"/>
        <v>0</v>
      </c>
      <c r="AF48" s="60">
        <f>'Analyzier - Inputs'!$E$12*K48*'Analyzier - Inputs'!$E$4*'Analyzier - Inputs'!$B$4*'Analyzier - Inputs'!$H$12</f>
        <v>46761.624000000011</v>
      </c>
      <c r="AG48" s="61">
        <f>('Analyzier - Inputs'!$F$12/1000)*'Analyzier - Inputs'!$C$22*24*(365/12)*'Analyzier - Inputs'!$B$4*'Analyzier - Inputs'!$H$12</f>
        <v>18945.836000000003</v>
      </c>
      <c r="AH48" s="61">
        <f>(AF48-AG48)*'Analyzier - Inputs'!$F$4*(1-'Analyzier - Inputs'!$I$4)</f>
        <v>25590.52496000001</v>
      </c>
      <c r="AI48" s="61">
        <f t="shared" si="16"/>
        <v>791864.14816000103</v>
      </c>
      <c r="AJ48">
        <f t="shared" si="7"/>
        <v>0</v>
      </c>
      <c r="AK48" s="60">
        <f>'Analyzier - Inputs'!$E$13*K48*'Analyzier - Inputs'!$E$4*'Analyzier - Inputs'!$B$4*'Analyzier - Inputs'!$H$13*'Analyzier - Inputs'!$G$4*'Analyzier - Inputs'!$H$4</f>
        <v>52977.144208695667</v>
      </c>
      <c r="AL48" s="61">
        <f>('Analyzier - Inputs'!$F$12/1000)*'Analyzier - Inputs'!$C$22*24*(365/12)*'Analyzier - Inputs'!$B$4*'Analyzier - Inputs'!$H$12</f>
        <v>18945.836000000003</v>
      </c>
      <c r="AM48" s="61">
        <f>(AK48-AL48)*'Analyzier - Inputs'!$F$4</f>
        <v>34031.308208695664</v>
      </c>
      <c r="AN48" s="61">
        <f t="shared" si="17"/>
        <v>943054.18062330433</v>
      </c>
      <c r="AO48">
        <f t="shared" si="8"/>
        <v>0</v>
      </c>
      <c r="AP48" s="60">
        <f>'Analyzier - Inputs'!$E$14*K48*'Analyzier - Inputs'!$E$4*'Analyzier - Inputs'!$B$4*'Analyzier - Inputs'!$H$14*'Analyzier - Inputs'!$G$4*'Analyzier - Inputs'!$H$4</f>
        <v>65685.224347826093</v>
      </c>
      <c r="AQ48" s="61">
        <f>('Analyzier - Inputs'!$F$12/1000)*'Analyzier - Inputs'!$C$22*24*(365/12)*'Analyzier - Inputs'!$B$4*'Analyzier - Inputs'!$H$12</f>
        <v>18945.836000000003</v>
      </c>
      <c r="AR48" s="61">
        <f>(AP48-AQ48)*'Analyzier - Inputs'!$F$4</f>
        <v>46739.38834782609</v>
      </c>
      <c r="AS48" s="61">
        <f t="shared" si="18"/>
        <v>1274609.2206121744</v>
      </c>
      <c r="AT48">
        <f t="shared" si="9"/>
        <v>0</v>
      </c>
    </row>
    <row r="49" spans="1:46" x14ac:dyDescent="0.2">
      <c r="A49" s="31" t="s">
        <v>86</v>
      </c>
      <c r="B49" s="30">
        <v>45413</v>
      </c>
      <c r="C49" s="31">
        <f t="shared" si="0"/>
        <v>4</v>
      </c>
      <c r="D49" s="31">
        <v>47</v>
      </c>
      <c r="E49" s="29">
        <f t="shared" si="20"/>
        <v>115000</v>
      </c>
      <c r="F49" s="36">
        <f t="shared" si="20"/>
        <v>9000</v>
      </c>
      <c r="G49" s="36">
        <f>6.25/2</f>
        <v>3.125</v>
      </c>
      <c r="H49" s="36">
        <f t="shared" si="1"/>
        <v>13725</v>
      </c>
      <c r="I49" s="37">
        <f>H49*'Analyzier - Inputs'!$D$4</f>
        <v>549</v>
      </c>
      <c r="J49" s="36">
        <f t="shared" si="2"/>
        <v>14274</v>
      </c>
      <c r="K49" s="84">
        <f t="shared" si="11"/>
        <v>1.2412173913043479E-4</v>
      </c>
      <c r="L49" s="60">
        <f>'Analyzier - Inputs'!$E$8*K49*'Analyzier - Inputs'!$E$4*'Analyzier - Inputs'!$B$4*'Analyzier - Inputs'!$H$8</f>
        <v>27916.220347826089</v>
      </c>
      <c r="M49" s="61">
        <f>('Analyzier - Inputs'!$F$8/1000)*'Analyzier - Inputs'!$C$22*24*(365/12)*'Analyzier - Inputs'!$B$4*'Analyzier - Inputs'!$H$8</f>
        <v>18972.408000000003</v>
      </c>
      <c r="N49" s="61">
        <f>(L49-M49)*'Analyzier - Inputs'!$F$4*(1-'Analyzier - Inputs'!$I$4)</f>
        <v>8228.3073599999989</v>
      </c>
      <c r="O49" s="43">
        <f t="shared" si="12"/>
        <v>958564.89104000025</v>
      </c>
      <c r="P49">
        <f t="shared" si="3"/>
        <v>0</v>
      </c>
      <c r="Q49" s="60">
        <f>'Analyzier - Inputs'!$E$9*K49*'Analyzier - Inputs'!$E$4*'Analyzier - Inputs'!$B$4*'Analyzier - Inputs'!$H$9</f>
        <v>22288.292452173911</v>
      </c>
      <c r="R49" s="61">
        <f>('Analyzier - Inputs'!$F$9/1000)*'Analyzier - Inputs'!$C$22*24*(365/12)*'Analyzier - Inputs'!$B$4*'Analyzier - Inputs'!$H$9</f>
        <v>18934.448</v>
      </c>
      <c r="S49" s="61">
        <f>(Q49-R49)*'Analyzier - Inputs'!$F$4*(1-'Analyzier - Inputs'!$I$4)</f>
        <v>3085.5368959999983</v>
      </c>
      <c r="T49" s="61">
        <f t="shared" si="13"/>
        <v>662520.7706879999</v>
      </c>
      <c r="U49">
        <f t="shared" si="4"/>
        <v>0</v>
      </c>
      <c r="V49" s="60">
        <f>'Analyzier - Inputs'!$E$10*K49*'Analyzier - Inputs'!$E$4*'Analyzier - Inputs'!$B$4*'Analyzier - Inputs'!$H$10</f>
        <v>15952.125913043481</v>
      </c>
      <c r="W49" s="61">
        <f>('Analyzier - Inputs'!$F$10/1000)*'Analyzier - Inputs'!$C$22*24*(365/12)*'Analyzier - Inputs'!$B$4*'Analyzier - Inputs'!$H$10</f>
        <v>18972.408000000003</v>
      </c>
      <c r="X49" s="61">
        <f>(V49-W49)*'Analyzier - Inputs'!$F$4*(1-'Analyzier - Inputs'!$I$4)</f>
        <v>-2778.6595200000006</v>
      </c>
      <c r="Y49" s="61">
        <f t="shared" si="14"/>
        <v>356316.97120000026</v>
      </c>
      <c r="Z49">
        <f t="shared" si="5"/>
        <v>0</v>
      </c>
      <c r="AA49" s="60">
        <f>'Analyzier - Inputs'!$E$11*K49*'Analyzier - Inputs'!$E$4*'Analyzier - Inputs'!$B$4*'Analyzier - Inputs'!$H$11</f>
        <v>32155.59834782609</v>
      </c>
      <c r="AB49" s="61">
        <f>('Analyzier - Inputs'!$F$11/1000)*'Analyzier - Inputs'!$C$22*24*(365/12)*'Analyzier - Inputs'!$B$4*'Analyzier - Inputs'!$H$11</f>
        <v>18978.102000000003</v>
      </c>
      <c r="AC49" s="61">
        <f>(AA49-AB49)*'Analyzier - Inputs'!$F$4*(1-'Analyzier - Inputs'!$I$4)</f>
        <v>12123.29664</v>
      </c>
      <c r="AD49" s="61">
        <f t="shared" si="15"/>
        <v>1180639.8641600006</v>
      </c>
      <c r="AE49">
        <f t="shared" si="6"/>
        <v>0</v>
      </c>
      <c r="AF49" s="60">
        <f>'Analyzier - Inputs'!$E$12*K49*'Analyzier - Inputs'!$E$4*'Analyzier - Inputs'!$B$4*'Analyzier - Inputs'!$H$12</f>
        <v>23380.812000000005</v>
      </c>
      <c r="AG49" s="61">
        <f>('Analyzier - Inputs'!$F$12/1000)*'Analyzier - Inputs'!$C$22*24*(365/12)*'Analyzier - Inputs'!$B$4*'Analyzier - Inputs'!$H$12</f>
        <v>18945.836000000003</v>
      </c>
      <c r="AH49" s="61">
        <f>(AF49-AG49)*'Analyzier - Inputs'!$F$4*(1-'Analyzier - Inputs'!$I$4)</f>
        <v>4080.1779200000024</v>
      </c>
      <c r="AI49" s="61">
        <f t="shared" si="16"/>
        <v>795944.32608000108</v>
      </c>
      <c r="AJ49">
        <f t="shared" si="7"/>
        <v>0</v>
      </c>
      <c r="AK49" s="60">
        <f>'Analyzier - Inputs'!$E$13*K49*'Analyzier - Inputs'!$E$4*'Analyzier - Inputs'!$B$4*'Analyzier - Inputs'!$H$13*'Analyzier - Inputs'!$G$4*'Analyzier - Inputs'!$H$4</f>
        <v>26488.572104347833</v>
      </c>
      <c r="AL49" s="61">
        <f>('Analyzier - Inputs'!$F$12/1000)*'Analyzier - Inputs'!$C$22*24*(365/12)*'Analyzier - Inputs'!$B$4*'Analyzier - Inputs'!$H$12</f>
        <v>18945.836000000003</v>
      </c>
      <c r="AM49" s="61">
        <f>(AK49-AL49)*'Analyzier - Inputs'!$F$4</f>
        <v>7542.7361043478304</v>
      </c>
      <c r="AN49" s="61">
        <f t="shared" si="17"/>
        <v>950596.91672765219</v>
      </c>
      <c r="AO49">
        <f t="shared" si="8"/>
        <v>0</v>
      </c>
      <c r="AP49" s="60">
        <f>'Analyzier - Inputs'!$E$14*K49*'Analyzier - Inputs'!$E$4*'Analyzier - Inputs'!$B$4*'Analyzier - Inputs'!$H$14*'Analyzier - Inputs'!$G$4*'Analyzier - Inputs'!$H$4</f>
        <v>32842.612173913047</v>
      </c>
      <c r="AQ49" s="61">
        <f>('Analyzier - Inputs'!$F$12/1000)*'Analyzier - Inputs'!$C$22*24*(365/12)*'Analyzier - Inputs'!$B$4*'Analyzier - Inputs'!$H$12</f>
        <v>18945.836000000003</v>
      </c>
      <c r="AR49" s="61">
        <f>(AP49-AQ49)*'Analyzier - Inputs'!$F$4</f>
        <v>13896.776173913044</v>
      </c>
      <c r="AS49" s="61">
        <f t="shared" si="18"/>
        <v>1288505.9967860875</v>
      </c>
      <c r="AT49">
        <f t="shared" si="9"/>
        <v>0</v>
      </c>
    </row>
    <row r="50" spans="1:46" x14ac:dyDescent="0.2">
      <c r="A50" s="31" t="s">
        <v>87</v>
      </c>
      <c r="B50" s="30">
        <v>45444</v>
      </c>
      <c r="C50" s="31">
        <f t="shared" si="0"/>
        <v>4</v>
      </c>
      <c r="D50" s="31">
        <v>48</v>
      </c>
      <c r="E50" s="29">
        <f t="shared" si="20"/>
        <v>115000</v>
      </c>
      <c r="F50" s="36">
        <f t="shared" si="20"/>
        <v>9000</v>
      </c>
      <c r="G50" s="36">
        <f>6.25/2</f>
        <v>3.125</v>
      </c>
      <c r="H50" s="36">
        <f t="shared" si="1"/>
        <v>13725</v>
      </c>
      <c r="I50" s="37">
        <f>H50*'Analyzier - Inputs'!$D$4</f>
        <v>549</v>
      </c>
      <c r="J50" s="36">
        <f t="shared" si="2"/>
        <v>14274</v>
      </c>
      <c r="K50" s="84">
        <f t="shared" si="11"/>
        <v>1.2412173913043479E-4</v>
      </c>
      <c r="L50" s="60">
        <f>'Analyzier - Inputs'!$E$8*K50*'Analyzier - Inputs'!$E$4*'Analyzier - Inputs'!$B$4*'Analyzier - Inputs'!$H$8</f>
        <v>27916.220347826089</v>
      </c>
      <c r="M50" s="61">
        <f>('Analyzier - Inputs'!$F$8/1000)*'Analyzier - Inputs'!$C$22*24*(365/12)*'Analyzier - Inputs'!$B$4*'Analyzier - Inputs'!$H$8</f>
        <v>18972.408000000003</v>
      </c>
      <c r="N50" s="61">
        <f>(L50-M50)*'Analyzier - Inputs'!$F$4*(1-'Analyzier - Inputs'!$I$4)</f>
        <v>8228.3073599999989</v>
      </c>
      <c r="O50" s="43">
        <f t="shared" si="12"/>
        <v>966793.19840000023</v>
      </c>
      <c r="P50">
        <f t="shared" si="3"/>
        <v>0</v>
      </c>
      <c r="Q50" s="60">
        <f>'Analyzier - Inputs'!$E$9*K50*'Analyzier - Inputs'!$E$4*'Analyzier - Inputs'!$B$4*'Analyzier - Inputs'!$H$9</f>
        <v>22288.292452173911</v>
      </c>
      <c r="R50" s="61">
        <f>('Analyzier - Inputs'!$F$9/1000)*'Analyzier - Inputs'!$C$22*24*(365/12)*'Analyzier - Inputs'!$B$4*'Analyzier - Inputs'!$H$9</f>
        <v>18934.448</v>
      </c>
      <c r="S50" s="61">
        <f>(Q50-R50)*'Analyzier - Inputs'!$F$4*(1-'Analyzier - Inputs'!$I$4)</f>
        <v>3085.5368959999983</v>
      </c>
      <c r="T50" s="61">
        <f t="shared" si="13"/>
        <v>665606.30758399994</v>
      </c>
      <c r="U50">
        <f t="shared" si="4"/>
        <v>0</v>
      </c>
      <c r="V50" s="60">
        <f>'Analyzier - Inputs'!$E$10*K50*'Analyzier - Inputs'!$E$4*'Analyzier - Inputs'!$B$4*'Analyzier - Inputs'!$H$10</f>
        <v>15952.125913043481</v>
      </c>
      <c r="W50" s="61">
        <f>('Analyzier - Inputs'!$F$10/1000)*'Analyzier - Inputs'!$C$22*24*(365/12)*'Analyzier - Inputs'!$B$4*'Analyzier - Inputs'!$H$10</f>
        <v>18972.408000000003</v>
      </c>
      <c r="X50" s="61">
        <f>(V50-W50)*'Analyzier - Inputs'!$F$4*(1-'Analyzier - Inputs'!$I$4)</f>
        <v>-2778.6595200000006</v>
      </c>
      <c r="Y50" s="61">
        <f t="shared" si="14"/>
        <v>353538.31168000028</v>
      </c>
      <c r="Z50">
        <f t="shared" si="5"/>
        <v>0</v>
      </c>
      <c r="AA50" s="60">
        <f>'Analyzier - Inputs'!$E$11*K50*'Analyzier - Inputs'!$E$4*'Analyzier - Inputs'!$B$4*'Analyzier - Inputs'!$H$11</f>
        <v>32155.59834782609</v>
      </c>
      <c r="AB50" s="61">
        <f>('Analyzier - Inputs'!$F$11/1000)*'Analyzier - Inputs'!$C$22*24*(365/12)*'Analyzier - Inputs'!$B$4*'Analyzier - Inputs'!$H$11</f>
        <v>18978.102000000003</v>
      </c>
      <c r="AC50" s="61">
        <f>(AA50-AB50)*'Analyzier - Inputs'!$F$4*(1-'Analyzier - Inputs'!$I$4)</f>
        <v>12123.29664</v>
      </c>
      <c r="AD50" s="61">
        <f t="shared" si="15"/>
        <v>1192763.1608000007</v>
      </c>
      <c r="AE50">
        <f t="shared" si="6"/>
        <v>0</v>
      </c>
      <c r="AF50" s="60">
        <f>'Analyzier - Inputs'!$E$12*K50*'Analyzier - Inputs'!$E$4*'Analyzier - Inputs'!$B$4*'Analyzier - Inputs'!$H$12</f>
        <v>23380.812000000005</v>
      </c>
      <c r="AG50" s="61">
        <f>('Analyzier - Inputs'!$F$12/1000)*'Analyzier - Inputs'!$C$22*24*(365/12)*'Analyzier - Inputs'!$B$4*'Analyzier - Inputs'!$H$12</f>
        <v>18945.836000000003</v>
      </c>
      <c r="AH50" s="61">
        <f>(AF50-AG50)*'Analyzier - Inputs'!$F$4*(1-'Analyzier - Inputs'!$I$4)</f>
        <v>4080.1779200000024</v>
      </c>
      <c r="AI50" s="61">
        <f t="shared" si="16"/>
        <v>800024.50400000112</v>
      </c>
      <c r="AJ50">
        <f t="shared" si="7"/>
        <v>0</v>
      </c>
      <c r="AK50" s="60">
        <f>'Analyzier - Inputs'!$E$13*K50*'Analyzier - Inputs'!$E$4*'Analyzier - Inputs'!$B$4*'Analyzier - Inputs'!$H$13*'Analyzier - Inputs'!$G$4*'Analyzier - Inputs'!$H$4</f>
        <v>26488.572104347833</v>
      </c>
      <c r="AL50" s="61">
        <f>('Analyzier - Inputs'!$F$12/1000)*'Analyzier - Inputs'!$C$22*24*(365/12)*'Analyzier - Inputs'!$B$4*'Analyzier - Inputs'!$H$12</f>
        <v>18945.836000000003</v>
      </c>
      <c r="AM50" s="61">
        <f>(AK50-AL50)*'Analyzier - Inputs'!$F$4</f>
        <v>7542.7361043478304</v>
      </c>
      <c r="AN50" s="61">
        <f t="shared" si="17"/>
        <v>958139.65283200005</v>
      </c>
      <c r="AO50">
        <f t="shared" si="8"/>
        <v>0</v>
      </c>
      <c r="AP50" s="60">
        <f>'Analyzier - Inputs'!$E$14*K50*'Analyzier - Inputs'!$E$4*'Analyzier - Inputs'!$B$4*'Analyzier - Inputs'!$H$14*'Analyzier - Inputs'!$G$4*'Analyzier - Inputs'!$H$4</f>
        <v>32842.612173913047</v>
      </c>
      <c r="AQ50" s="61">
        <f>('Analyzier - Inputs'!$F$12/1000)*'Analyzier - Inputs'!$C$22*24*(365/12)*'Analyzier - Inputs'!$B$4*'Analyzier - Inputs'!$H$12</f>
        <v>18945.836000000003</v>
      </c>
      <c r="AR50" s="61">
        <f>(AP50-AQ50)*'Analyzier - Inputs'!$F$4</f>
        <v>13896.776173913044</v>
      </c>
      <c r="AS50" s="61">
        <f t="shared" si="18"/>
        <v>1302402.7729600007</v>
      </c>
      <c r="AT50">
        <f t="shared" si="9"/>
        <v>0</v>
      </c>
    </row>
    <row r="51" spans="1:46" x14ac:dyDescent="0.2">
      <c r="A51" s="31" t="s">
        <v>88</v>
      </c>
      <c r="B51" s="30">
        <v>45474</v>
      </c>
      <c r="C51" s="31">
        <f t="shared" si="0"/>
        <v>5</v>
      </c>
      <c r="D51" s="31">
        <v>49</v>
      </c>
      <c r="E51" s="29">
        <f t="shared" si="20"/>
        <v>115000</v>
      </c>
      <c r="F51" s="36">
        <f t="shared" si="20"/>
        <v>9000</v>
      </c>
      <c r="G51" s="36">
        <v>3.125</v>
      </c>
      <c r="H51" s="36">
        <f t="shared" si="1"/>
        <v>13725</v>
      </c>
      <c r="I51" s="37">
        <f>H51*'Analyzier - Inputs'!$D$4</f>
        <v>549</v>
      </c>
      <c r="J51" s="36">
        <f t="shared" si="2"/>
        <v>14274</v>
      </c>
      <c r="K51" s="84">
        <f t="shared" si="11"/>
        <v>1.2412173913043479E-4</v>
      </c>
      <c r="L51" s="60">
        <f>'Analyzier - Inputs'!$E$8*K51*'Analyzier - Inputs'!$E$4*'Analyzier - Inputs'!$B$4*'Analyzier - Inputs'!$H$8</f>
        <v>27916.220347826089</v>
      </c>
      <c r="M51" s="61">
        <f>('Analyzier - Inputs'!$F$8/1000)*'Analyzier - Inputs'!$C$22*24*(365/12)*'Analyzier - Inputs'!$B$4*'Analyzier - Inputs'!$H$8</f>
        <v>18972.408000000003</v>
      </c>
      <c r="N51" s="61">
        <f>(L51-M51)*'Analyzier - Inputs'!$F$4*(1-'Analyzier - Inputs'!$I$4)</f>
        <v>8228.3073599999989</v>
      </c>
      <c r="O51" s="43">
        <f t="shared" si="12"/>
        <v>975021.5057600002</v>
      </c>
      <c r="P51">
        <f t="shared" si="3"/>
        <v>0</v>
      </c>
      <c r="Q51" s="60">
        <f>'Analyzier - Inputs'!$E$9*K51*'Analyzier - Inputs'!$E$4*'Analyzier - Inputs'!$B$4*'Analyzier - Inputs'!$H$9</f>
        <v>22288.292452173911</v>
      </c>
      <c r="R51" s="61">
        <f>('Analyzier - Inputs'!$F$9/1000)*'Analyzier - Inputs'!$C$22*24*(365/12)*'Analyzier - Inputs'!$B$4*'Analyzier - Inputs'!$H$9</f>
        <v>18934.448</v>
      </c>
      <c r="S51" s="61">
        <f>(Q51-R51)*'Analyzier - Inputs'!$F$4*(1-'Analyzier - Inputs'!$I$4)</f>
        <v>3085.5368959999983</v>
      </c>
      <c r="T51" s="61">
        <f t="shared" si="13"/>
        <v>668691.84447999997</v>
      </c>
      <c r="U51">
        <f t="shared" si="4"/>
        <v>0</v>
      </c>
      <c r="V51" s="60">
        <f>'Analyzier - Inputs'!$E$10*K51*'Analyzier - Inputs'!$E$4*'Analyzier - Inputs'!$B$4*'Analyzier - Inputs'!$H$10</f>
        <v>15952.125913043481</v>
      </c>
      <c r="W51" s="61">
        <f>('Analyzier - Inputs'!$F$10/1000)*'Analyzier - Inputs'!$C$22*24*(365/12)*'Analyzier - Inputs'!$B$4*'Analyzier - Inputs'!$H$10</f>
        <v>18972.408000000003</v>
      </c>
      <c r="X51" s="61">
        <f>(V51-W51)*'Analyzier - Inputs'!$F$4*(1-'Analyzier - Inputs'!$I$4)</f>
        <v>-2778.6595200000006</v>
      </c>
      <c r="Y51" s="61">
        <f t="shared" si="14"/>
        <v>350759.65216000029</v>
      </c>
      <c r="Z51">
        <f t="shared" si="5"/>
        <v>0</v>
      </c>
      <c r="AA51" s="60">
        <f>'Analyzier - Inputs'!$E$11*K51*'Analyzier - Inputs'!$E$4*'Analyzier - Inputs'!$B$4*'Analyzier - Inputs'!$H$11</f>
        <v>32155.59834782609</v>
      </c>
      <c r="AB51" s="61">
        <f>('Analyzier - Inputs'!$F$11/1000)*'Analyzier - Inputs'!$C$22*24*(365/12)*'Analyzier - Inputs'!$B$4*'Analyzier - Inputs'!$H$11</f>
        <v>18978.102000000003</v>
      </c>
      <c r="AC51" s="61">
        <f>(AA51-AB51)*'Analyzier - Inputs'!$F$4*(1-'Analyzier - Inputs'!$I$4)</f>
        <v>12123.29664</v>
      </c>
      <c r="AD51" s="61">
        <f t="shared" si="15"/>
        <v>1204886.4574400007</v>
      </c>
      <c r="AE51">
        <f t="shared" si="6"/>
        <v>0</v>
      </c>
      <c r="AF51" s="60">
        <f>'Analyzier - Inputs'!$E$12*K51*'Analyzier - Inputs'!$E$4*'Analyzier - Inputs'!$B$4*'Analyzier - Inputs'!$H$12</f>
        <v>23380.812000000005</v>
      </c>
      <c r="AG51" s="61">
        <f>('Analyzier - Inputs'!$F$12/1000)*'Analyzier - Inputs'!$C$22*24*(365/12)*'Analyzier - Inputs'!$B$4*'Analyzier - Inputs'!$H$12</f>
        <v>18945.836000000003</v>
      </c>
      <c r="AH51" s="61">
        <f>(AF51-AG51)*'Analyzier - Inputs'!$F$4*(1-'Analyzier - Inputs'!$I$4)</f>
        <v>4080.1779200000024</v>
      </c>
      <c r="AI51" s="61">
        <f t="shared" si="16"/>
        <v>804104.68192000117</v>
      </c>
      <c r="AJ51">
        <f t="shared" si="7"/>
        <v>0</v>
      </c>
      <c r="AK51" s="60">
        <f>'Analyzier - Inputs'!$E$13*K51*'Analyzier - Inputs'!$E$4*'Analyzier - Inputs'!$B$4*'Analyzier - Inputs'!$H$13*'Analyzier - Inputs'!$G$4*'Analyzier - Inputs'!$H$4</f>
        <v>26488.572104347833</v>
      </c>
      <c r="AL51" s="61">
        <f>('Analyzier - Inputs'!$F$12/1000)*'Analyzier - Inputs'!$C$22*24*(365/12)*'Analyzier - Inputs'!$B$4*'Analyzier - Inputs'!$H$12</f>
        <v>18945.836000000003</v>
      </c>
      <c r="AM51" s="61">
        <f>(AK51-AL51)*'Analyzier - Inputs'!$F$4</f>
        <v>7542.7361043478304</v>
      </c>
      <c r="AN51" s="61">
        <f t="shared" si="17"/>
        <v>965682.38893634791</v>
      </c>
      <c r="AO51">
        <f t="shared" si="8"/>
        <v>0</v>
      </c>
      <c r="AP51" s="60">
        <f>'Analyzier - Inputs'!$E$14*K51*'Analyzier - Inputs'!$E$4*'Analyzier - Inputs'!$B$4*'Analyzier - Inputs'!$H$14*'Analyzier - Inputs'!$G$4*'Analyzier - Inputs'!$H$4</f>
        <v>32842.612173913047</v>
      </c>
      <c r="AQ51" s="61">
        <f>('Analyzier - Inputs'!$F$12/1000)*'Analyzier - Inputs'!$C$22*24*(365/12)*'Analyzier - Inputs'!$B$4*'Analyzier - Inputs'!$H$12</f>
        <v>18945.836000000003</v>
      </c>
      <c r="AR51" s="61">
        <f>(AP51-AQ51)*'Analyzier - Inputs'!$F$4</f>
        <v>13896.776173913044</v>
      </c>
      <c r="AS51" s="61">
        <f t="shared" si="18"/>
        <v>1316299.5491339138</v>
      </c>
      <c r="AT51">
        <f t="shared" si="9"/>
        <v>0</v>
      </c>
    </row>
    <row r="52" spans="1:46" x14ac:dyDescent="0.2">
      <c r="A52" s="31" t="s">
        <v>89</v>
      </c>
      <c r="B52" s="30">
        <v>45505</v>
      </c>
      <c r="C52" s="31">
        <f t="shared" si="0"/>
        <v>5</v>
      </c>
      <c r="D52" s="31">
        <v>50</v>
      </c>
      <c r="E52" s="29">
        <f t="shared" si="20"/>
        <v>115000</v>
      </c>
      <c r="F52" s="36">
        <f t="shared" si="20"/>
        <v>9000</v>
      </c>
      <c r="G52" s="36">
        <v>3.125</v>
      </c>
      <c r="H52" s="36">
        <f t="shared" si="1"/>
        <v>13725</v>
      </c>
      <c r="I52" s="37">
        <f>H52*'Analyzier - Inputs'!$D$4</f>
        <v>549</v>
      </c>
      <c r="J52" s="36">
        <f t="shared" si="2"/>
        <v>14274</v>
      </c>
      <c r="K52" s="84">
        <f t="shared" si="11"/>
        <v>1.2412173913043479E-4</v>
      </c>
      <c r="L52" s="60">
        <f>'Analyzier - Inputs'!$E$8*K52*'Analyzier - Inputs'!$E$4*'Analyzier - Inputs'!$B$4*'Analyzier - Inputs'!$H$8</f>
        <v>27916.220347826089</v>
      </c>
      <c r="M52" s="61">
        <f>('Analyzier - Inputs'!$F$8/1000)*'Analyzier - Inputs'!$C$22*24*(365/12)*'Analyzier - Inputs'!$B$4*'Analyzier - Inputs'!$H$8</f>
        <v>18972.408000000003</v>
      </c>
      <c r="N52" s="61">
        <f>(L52-M52)*'Analyzier - Inputs'!$F$4*(1-'Analyzier - Inputs'!$I$4)</f>
        <v>8228.3073599999989</v>
      </c>
      <c r="O52" s="43">
        <f t="shared" si="12"/>
        <v>983249.81312000018</v>
      </c>
      <c r="P52">
        <f t="shared" si="3"/>
        <v>0</v>
      </c>
      <c r="Q52" s="60">
        <f>'Analyzier - Inputs'!$E$9*K52*'Analyzier - Inputs'!$E$4*'Analyzier - Inputs'!$B$4*'Analyzier - Inputs'!$H$9</f>
        <v>22288.292452173911</v>
      </c>
      <c r="R52" s="61">
        <f>('Analyzier - Inputs'!$F$9/1000)*'Analyzier - Inputs'!$C$22*24*(365/12)*'Analyzier - Inputs'!$B$4*'Analyzier - Inputs'!$H$9</f>
        <v>18934.448</v>
      </c>
      <c r="S52" s="61">
        <f>(Q52-R52)*'Analyzier - Inputs'!$F$4*(1-'Analyzier - Inputs'!$I$4)</f>
        <v>3085.5368959999983</v>
      </c>
      <c r="T52" s="61">
        <f t="shared" si="13"/>
        <v>671777.381376</v>
      </c>
      <c r="U52">
        <f t="shared" si="4"/>
        <v>0</v>
      </c>
      <c r="V52" s="60">
        <f>'Analyzier - Inputs'!$E$10*K52*'Analyzier - Inputs'!$E$4*'Analyzier - Inputs'!$B$4*'Analyzier - Inputs'!$H$10</f>
        <v>15952.125913043481</v>
      </c>
      <c r="W52" s="61">
        <f>('Analyzier - Inputs'!$F$10/1000)*'Analyzier - Inputs'!$C$22*24*(365/12)*'Analyzier - Inputs'!$B$4*'Analyzier - Inputs'!$H$10</f>
        <v>18972.408000000003</v>
      </c>
      <c r="X52" s="61">
        <f>(V52-W52)*'Analyzier - Inputs'!$F$4*(1-'Analyzier - Inputs'!$I$4)</f>
        <v>-2778.6595200000006</v>
      </c>
      <c r="Y52" s="61">
        <f t="shared" si="14"/>
        <v>347980.9926400003</v>
      </c>
      <c r="Z52">
        <f t="shared" si="5"/>
        <v>0</v>
      </c>
      <c r="AA52" s="60">
        <f>'Analyzier - Inputs'!$E$11*K52*'Analyzier - Inputs'!$E$4*'Analyzier - Inputs'!$B$4*'Analyzier - Inputs'!$H$11</f>
        <v>32155.59834782609</v>
      </c>
      <c r="AB52" s="61">
        <f>('Analyzier - Inputs'!$F$11/1000)*'Analyzier - Inputs'!$C$22*24*(365/12)*'Analyzier - Inputs'!$B$4*'Analyzier - Inputs'!$H$11</f>
        <v>18978.102000000003</v>
      </c>
      <c r="AC52" s="61">
        <f>(AA52-AB52)*'Analyzier - Inputs'!$F$4*(1-'Analyzier - Inputs'!$I$4)</f>
        <v>12123.29664</v>
      </c>
      <c r="AD52" s="61">
        <f t="shared" si="15"/>
        <v>1217009.7540800008</v>
      </c>
      <c r="AE52">
        <f t="shared" si="6"/>
        <v>0</v>
      </c>
      <c r="AF52" s="60">
        <f>'Analyzier - Inputs'!$E$12*K52*'Analyzier - Inputs'!$E$4*'Analyzier - Inputs'!$B$4*'Analyzier - Inputs'!$H$12</f>
        <v>23380.812000000005</v>
      </c>
      <c r="AG52" s="61">
        <f>('Analyzier - Inputs'!$F$12/1000)*'Analyzier - Inputs'!$C$22*24*(365/12)*'Analyzier - Inputs'!$B$4*'Analyzier - Inputs'!$H$12</f>
        <v>18945.836000000003</v>
      </c>
      <c r="AH52" s="61">
        <f>(AF52-AG52)*'Analyzier - Inputs'!$F$4*(1-'Analyzier - Inputs'!$I$4)</f>
        <v>4080.1779200000024</v>
      </c>
      <c r="AI52" s="61">
        <f t="shared" si="16"/>
        <v>808184.85984000121</v>
      </c>
      <c r="AJ52">
        <f t="shared" si="7"/>
        <v>0</v>
      </c>
      <c r="AK52" s="60">
        <f>'Analyzier - Inputs'!$E$13*K52*'Analyzier - Inputs'!$E$4*'Analyzier - Inputs'!$B$4*'Analyzier - Inputs'!$H$13*'Analyzier - Inputs'!$G$4*'Analyzier - Inputs'!$H$4</f>
        <v>26488.572104347833</v>
      </c>
      <c r="AL52" s="61">
        <f>('Analyzier - Inputs'!$F$12/1000)*'Analyzier - Inputs'!$C$22*24*(365/12)*'Analyzier - Inputs'!$B$4*'Analyzier - Inputs'!$H$12</f>
        <v>18945.836000000003</v>
      </c>
      <c r="AM52" s="61">
        <f>(AK52-AL52)*'Analyzier - Inputs'!$F$4</f>
        <v>7542.7361043478304</v>
      </c>
      <c r="AN52" s="61">
        <f t="shared" si="17"/>
        <v>973225.12504069577</v>
      </c>
      <c r="AO52">
        <f t="shared" si="8"/>
        <v>0</v>
      </c>
      <c r="AP52" s="60">
        <f>'Analyzier - Inputs'!$E$14*K52*'Analyzier - Inputs'!$E$4*'Analyzier - Inputs'!$B$4*'Analyzier - Inputs'!$H$14*'Analyzier - Inputs'!$G$4*'Analyzier - Inputs'!$H$4</f>
        <v>32842.612173913047</v>
      </c>
      <c r="AQ52" s="61">
        <f>('Analyzier - Inputs'!$F$12/1000)*'Analyzier - Inputs'!$C$22*24*(365/12)*'Analyzier - Inputs'!$B$4*'Analyzier - Inputs'!$H$12</f>
        <v>18945.836000000003</v>
      </c>
      <c r="AR52" s="61">
        <f>(AP52-AQ52)*'Analyzier - Inputs'!$F$4</f>
        <v>13896.776173913044</v>
      </c>
      <c r="AS52" s="61">
        <f t="shared" si="18"/>
        <v>1330196.325307827</v>
      </c>
      <c r="AT52">
        <f t="shared" si="9"/>
        <v>0</v>
      </c>
    </row>
    <row r="53" spans="1:46" x14ac:dyDescent="0.2">
      <c r="A53" s="31" t="s">
        <v>90</v>
      </c>
      <c r="B53" s="30">
        <v>45536</v>
      </c>
      <c r="C53" s="31">
        <f t="shared" si="0"/>
        <v>5</v>
      </c>
      <c r="D53" s="31">
        <v>51</v>
      </c>
      <c r="E53" s="29">
        <f t="shared" ref="E53:F59" si="21">E52</f>
        <v>115000</v>
      </c>
      <c r="F53" s="36">
        <f t="shared" si="21"/>
        <v>9000</v>
      </c>
      <c r="G53" s="36">
        <v>3.125</v>
      </c>
      <c r="H53" s="36">
        <f t="shared" si="1"/>
        <v>13725</v>
      </c>
      <c r="I53" s="37">
        <f>H53*'Analyzier - Inputs'!$D$4</f>
        <v>549</v>
      </c>
      <c r="J53" s="36">
        <f t="shared" si="2"/>
        <v>14274</v>
      </c>
      <c r="K53" s="84">
        <f t="shared" si="11"/>
        <v>1.2412173913043479E-4</v>
      </c>
      <c r="L53" s="60">
        <f>'Analyzier - Inputs'!$E$8*K53*'Analyzier - Inputs'!$E$4*'Analyzier - Inputs'!$B$4*'Analyzier - Inputs'!$H$8</f>
        <v>27916.220347826089</v>
      </c>
      <c r="M53" s="61">
        <f>('Analyzier - Inputs'!$F$8/1000)*'Analyzier - Inputs'!$C$22*24*(365/12)*'Analyzier - Inputs'!$B$4*'Analyzier - Inputs'!$H$8</f>
        <v>18972.408000000003</v>
      </c>
      <c r="N53" s="61">
        <f>(L53-M53)*'Analyzier - Inputs'!$F$4*(1-'Analyzier - Inputs'!$I$4)</f>
        <v>8228.3073599999989</v>
      </c>
      <c r="O53" s="43">
        <f t="shared" si="12"/>
        <v>991478.12048000016</v>
      </c>
      <c r="P53">
        <f t="shared" si="3"/>
        <v>0</v>
      </c>
      <c r="Q53" s="60">
        <f>'Analyzier - Inputs'!$E$9*K53*'Analyzier - Inputs'!$E$4*'Analyzier - Inputs'!$B$4*'Analyzier - Inputs'!$H$9</f>
        <v>22288.292452173911</v>
      </c>
      <c r="R53" s="61">
        <f>('Analyzier - Inputs'!$F$9/1000)*'Analyzier - Inputs'!$C$22*24*(365/12)*'Analyzier - Inputs'!$B$4*'Analyzier - Inputs'!$H$9</f>
        <v>18934.448</v>
      </c>
      <c r="S53" s="61">
        <f>(Q53-R53)*'Analyzier - Inputs'!$F$4*(1-'Analyzier - Inputs'!$I$4)</f>
        <v>3085.5368959999983</v>
      </c>
      <c r="T53" s="61">
        <f t="shared" si="13"/>
        <v>674862.91827200004</v>
      </c>
      <c r="U53">
        <f t="shared" si="4"/>
        <v>0</v>
      </c>
      <c r="V53" s="60">
        <f>'Analyzier - Inputs'!$E$10*K53*'Analyzier - Inputs'!$E$4*'Analyzier - Inputs'!$B$4*'Analyzier - Inputs'!$H$10</f>
        <v>15952.125913043481</v>
      </c>
      <c r="W53" s="61">
        <f>('Analyzier - Inputs'!$F$10/1000)*'Analyzier - Inputs'!$C$22*24*(365/12)*'Analyzier - Inputs'!$B$4*'Analyzier - Inputs'!$H$10</f>
        <v>18972.408000000003</v>
      </c>
      <c r="X53" s="61">
        <f>(V53-W53)*'Analyzier - Inputs'!$F$4*(1-'Analyzier - Inputs'!$I$4)</f>
        <v>-2778.6595200000006</v>
      </c>
      <c r="Y53" s="61">
        <f t="shared" si="14"/>
        <v>345202.33312000032</v>
      </c>
      <c r="Z53">
        <f t="shared" si="5"/>
        <v>0</v>
      </c>
      <c r="AA53" s="60">
        <f>'Analyzier - Inputs'!$E$11*K53*'Analyzier - Inputs'!$E$4*'Analyzier - Inputs'!$B$4*'Analyzier - Inputs'!$H$11</f>
        <v>32155.59834782609</v>
      </c>
      <c r="AB53" s="61">
        <f>('Analyzier - Inputs'!$F$11/1000)*'Analyzier - Inputs'!$C$22*24*(365/12)*'Analyzier - Inputs'!$B$4*'Analyzier - Inputs'!$H$11</f>
        <v>18978.102000000003</v>
      </c>
      <c r="AC53" s="61">
        <f>(AA53-AB53)*'Analyzier - Inputs'!$F$4*(1-'Analyzier - Inputs'!$I$4)</f>
        <v>12123.29664</v>
      </c>
      <c r="AD53" s="61">
        <f t="shared" si="15"/>
        <v>1229133.0507200009</v>
      </c>
      <c r="AE53">
        <f t="shared" si="6"/>
        <v>0</v>
      </c>
      <c r="AF53" s="60">
        <f>'Analyzier - Inputs'!$E$12*K53*'Analyzier - Inputs'!$E$4*'Analyzier - Inputs'!$B$4*'Analyzier - Inputs'!$H$12</f>
        <v>23380.812000000005</v>
      </c>
      <c r="AG53" s="61">
        <f>('Analyzier - Inputs'!$F$12/1000)*'Analyzier - Inputs'!$C$22*24*(365/12)*'Analyzier - Inputs'!$B$4*'Analyzier - Inputs'!$H$12</f>
        <v>18945.836000000003</v>
      </c>
      <c r="AH53" s="61">
        <f>(AF53-AG53)*'Analyzier - Inputs'!$F$4*(1-'Analyzier - Inputs'!$I$4)</f>
        <v>4080.1779200000024</v>
      </c>
      <c r="AI53" s="61">
        <f t="shared" si="16"/>
        <v>812265.03776000126</v>
      </c>
      <c r="AJ53">
        <f t="shared" si="7"/>
        <v>0</v>
      </c>
      <c r="AK53" s="60">
        <f>'Analyzier - Inputs'!$E$13*K53*'Analyzier - Inputs'!$E$4*'Analyzier - Inputs'!$B$4*'Analyzier - Inputs'!$H$13*'Analyzier - Inputs'!$G$4*'Analyzier - Inputs'!$H$4</f>
        <v>26488.572104347833</v>
      </c>
      <c r="AL53" s="61">
        <f>('Analyzier - Inputs'!$F$12/1000)*'Analyzier - Inputs'!$C$22*24*(365/12)*'Analyzier - Inputs'!$B$4*'Analyzier - Inputs'!$H$12</f>
        <v>18945.836000000003</v>
      </c>
      <c r="AM53" s="61">
        <f>(AK53-AL53)*'Analyzier - Inputs'!$F$4</f>
        <v>7542.7361043478304</v>
      </c>
      <c r="AN53" s="61">
        <f t="shared" si="17"/>
        <v>980767.86114504363</v>
      </c>
      <c r="AO53">
        <f t="shared" si="8"/>
        <v>0</v>
      </c>
      <c r="AP53" s="60">
        <f>'Analyzier - Inputs'!$E$14*K53*'Analyzier - Inputs'!$E$4*'Analyzier - Inputs'!$B$4*'Analyzier - Inputs'!$H$14*'Analyzier - Inputs'!$G$4*'Analyzier - Inputs'!$H$4</f>
        <v>32842.612173913047</v>
      </c>
      <c r="AQ53" s="61">
        <f>('Analyzier - Inputs'!$F$12/1000)*'Analyzier - Inputs'!$C$22*24*(365/12)*'Analyzier - Inputs'!$B$4*'Analyzier - Inputs'!$H$12</f>
        <v>18945.836000000003</v>
      </c>
      <c r="AR53" s="61">
        <f>(AP53-AQ53)*'Analyzier - Inputs'!$F$4</f>
        <v>13896.776173913044</v>
      </c>
      <c r="AS53" s="61">
        <f t="shared" si="18"/>
        <v>1344093.1014817401</v>
      </c>
      <c r="AT53">
        <f t="shared" si="9"/>
        <v>0</v>
      </c>
    </row>
    <row r="54" spans="1:46" x14ac:dyDescent="0.2">
      <c r="A54" s="31" t="s">
        <v>91</v>
      </c>
      <c r="B54" s="30">
        <v>45566</v>
      </c>
      <c r="C54" s="31">
        <f t="shared" si="0"/>
        <v>5</v>
      </c>
      <c r="D54" s="31">
        <v>52</v>
      </c>
      <c r="E54" s="29">
        <f t="shared" si="21"/>
        <v>115000</v>
      </c>
      <c r="F54" s="36">
        <f t="shared" si="21"/>
        <v>9000</v>
      </c>
      <c r="G54" s="36">
        <v>3.125</v>
      </c>
      <c r="H54" s="36">
        <f t="shared" si="1"/>
        <v>13725</v>
      </c>
      <c r="I54" s="37">
        <f>H54*'Analyzier - Inputs'!$D$4</f>
        <v>549</v>
      </c>
      <c r="J54" s="36">
        <f t="shared" si="2"/>
        <v>14274</v>
      </c>
      <c r="K54" s="84">
        <f t="shared" si="11"/>
        <v>1.2412173913043479E-4</v>
      </c>
      <c r="L54" s="60">
        <f>'Analyzier - Inputs'!$E$8*K54*'Analyzier - Inputs'!$E$4*'Analyzier - Inputs'!$B$4*'Analyzier - Inputs'!$H$8</f>
        <v>27916.220347826089</v>
      </c>
      <c r="M54" s="61">
        <f>('Analyzier - Inputs'!$F$8/1000)*'Analyzier - Inputs'!$C$22*24*(365/12)*'Analyzier - Inputs'!$B$4*'Analyzier - Inputs'!$H$8</f>
        <v>18972.408000000003</v>
      </c>
      <c r="N54" s="61">
        <f>(L54-M54)*'Analyzier - Inputs'!$F$4*(1-'Analyzier - Inputs'!$I$4)</f>
        <v>8228.3073599999989</v>
      </c>
      <c r="O54" s="43">
        <f t="shared" si="12"/>
        <v>999706.42784000013</v>
      </c>
      <c r="P54">
        <f t="shared" si="3"/>
        <v>0</v>
      </c>
      <c r="Q54" s="60">
        <f>'Analyzier - Inputs'!$E$9*K54*'Analyzier - Inputs'!$E$4*'Analyzier - Inputs'!$B$4*'Analyzier - Inputs'!$H$9</f>
        <v>22288.292452173911</v>
      </c>
      <c r="R54" s="61">
        <f>('Analyzier - Inputs'!$F$9/1000)*'Analyzier - Inputs'!$C$22*24*(365/12)*'Analyzier - Inputs'!$B$4*'Analyzier - Inputs'!$H$9</f>
        <v>18934.448</v>
      </c>
      <c r="S54" s="61">
        <f>(Q54-R54)*'Analyzier - Inputs'!$F$4*(1-'Analyzier - Inputs'!$I$4)</f>
        <v>3085.5368959999983</v>
      </c>
      <c r="T54" s="61">
        <f t="shared" si="13"/>
        <v>677948.45516800007</v>
      </c>
      <c r="U54">
        <f t="shared" si="4"/>
        <v>0</v>
      </c>
      <c r="V54" s="60">
        <f>'Analyzier - Inputs'!$E$10*K54*'Analyzier - Inputs'!$E$4*'Analyzier - Inputs'!$B$4*'Analyzier - Inputs'!$H$10</f>
        <v>15952.125913043481</v>
      </c>
      <c r="W54" s="61">
        <f>('Analyzier - Inputs'!$F$10/1000)*'Analyzier - Inputs'!$C$22*24*(365/12)*'Analyzier - Inputs'!$B$4*'Analyzier - Inputs'!$H$10</f>
        <v>18972.408000000003</v>
      </c>
      <c r="X54" s="61">
        <f>(V54-W54)*'Analyzier - Inputs'!$F$4*(1-'Analyzier - Inputs'!$I$4)</f>
        <v>-2778.6595200000006</v>
      </c>
      <c r="Y54" s="61">
        <f t="shared" si="14"/>
        <v>342423.67360000033</v>
      </c>
      <c r="Z54">
        <f t="shared" si="5"/>
        <v>0</v>
      </c>
      <c r="AA54" s="60">
        <f>'Analyzier - Inputs'!$E$11*K54*'Analyzier - Inputs'!$E$4*'Analyzier - Inputs'!$B$4*'Analyzier - Inputs'!$H$11</f>
        <v>32155.59834782609</v>
      </c>
      <c r="AB54" s="61">
        <f>('Analyzier - Inputs'!$F$11/1000)*'Analyzier - Inputs'!$C$22*24*(365/12)*'Analyzier - Inputs'!$B$4*'Analyzier - Inputs'!$H$11</f>
        <v>18978.102000000003</v>
      </c>
      <c r="AC54" s="61">
        <f>(AA54-AB54)*'Analyzier - Inputs'!$F$4*(1-'Analyzier - Inputs'!$I$4)</f>
        <v>12123.29664</v>
      </c>
      <c r="AD54" s="61">
        <f t="shared" si="15"/>
        <v>1241256.3473600009</v>
      </c>
      <c r="AE54">
        <f t="shared" si="6"/>
        <v>0</v>
      </c>
      <c r="AF54" s="60">
        <f>'Analyzier - Inputs'!$E$12*K54*'Analyzier - Inputs'!$E$4*'Analyzier - Inputs'!$B$4*'Analyzier - Inputs'!$H$12</f>
        <v>23380.812000000005</v>
      </c>
      <c r="AG54" s="61">
        <f>('Analyzier - Inputs'!$F$12/1000)*'Analyzier - Inputs'!$C$22*24*(365/12)*'Analyzier - Inputs'!$B$4*'Analyzier - Inputs'!$H$12</f>
        <v>18945.836000000003</v>
      </c>
      <c r="AH54" s="61">
        <f>(AF54-AG54)*'Analyzier - Inputs'!$F$4*(1-'Analyzier - Inputs'!$I$4)</f>
        <v>4080.1779200000024</v>
      </c>
      <c r="AI54" s="61">
        <f t="shared" si="16"/>
        <v>816345.2156800013</v>
      </c>
      <c r="AJ54">
        <f t="shared" si="7"/>
        <v>0</v>
      </c>
      <c r="AK54" s="60">
        <f>'Analyzier - Inputs'!$E$13*K54*'Analyzier - Inputs'!$E$4*'Analyzier - Inputs'!$B$4*'Analyzier - Inputs'!$H$13*'Analyzier - Inputs'!$G$4*'Analyzier - Inputs'!$H$4</f>
        <v>26488.572104347833</v>
      </c>
      <c r="AL54" s="61">
        <f>('Analyzier - Inputs'!$F$12/1000)*'Analyzier - Inputs'!$C$22*24*(365/12)*'Analyzier - Inputs'!$B$4*'Analyzier - Inputs'!$H$12</f>
        <v>18945.836000000003</v>
      </c>
      <c r="AM54" s="61">
        <f>(AK54-AL54)*'Analyzier - Inputs'!$F$4</f>
        <v>7542.7361043478304</v>
      </c>
      <c r="AN54" s="61">
        <f t="shared" si="17"/>
        <v>988310.59724939149</v>
      </c>
      <c r="AO54">
        <f t="shared" si="8"/>
        <v>0</v>
      </c>
      <c r="AP54" s="60">
        <f>'Analyzier - Inputs'!$E$14*K54*'Analyzier - Inputs'!$E$4*'Analyzier - Inputs'!$B$4*'Analyzier - Inputs'!$H$14*'Analyzier - Inputs'!$G$4*'Analyzier - Inputs'!$H$4</f>
        <v>32842.612173913047</v>
      </c>
      <c r="AQ54" s="61">
        <f>('Analyzier - Inputs'!$F$12/1000)*'Analyzier - Inputs'!$C$22*24*(365/12)*'Analyzier - Inputs'!$B$4*'Analyzier - Inputs'!$H$12</f>
        <v>18945.836000000003</v>
      </c>
      <c r="AR54" s="61">
        <f>(AP54-AQ54)*'Analyzier - Inputs'!$F$4</f>
        <v>13896.776173913044</v>
      </c>
      <c r="AS54" s="61">
        <f t="shared" si="18"/>
        <v>1357989.8776556533</v>
      </c>
      <c r="AT54">
        <f t="shared" si="9"/>
        <v>0</v>
      </c>
    </row>
    <row r="55" spans="1:46" x14ac:dyDescent="0.2">
      <c r="A55" s="31" t="s">
        <v>92</v>
      </c>
      <c r="B55" s="30">
        <v>45597</v>
      </c>
      <c r="C55" s="31">
        <f t="shared" si="0"/>
        <v>5</v>
      </c>
      <c r="D55" s="31">
        <v>53</v>
      </c>
      <c r="E55" s="29">
        <f t="shared" si="21"/>
        <v>115000</v>
      </c>
      <c r="F55" s="36">
        <f t="shared" si="21"/>
        <v>9000</v>
      </c>
      <c r="G55" s="36">
        <v>3.125</v>
      </c>
      <c r="H55" s="36">
        <f t="shared" si="1"/>
        <v>13725</v>
      </c>
      <c r="I55" s="37">
        <f>H55*'Analyzier - Inputs'!$D$4</f>
        <v>549</v>
      </c>
      <c r="J55" s="36">
        <f t="shared" si="2"/>
        <v>14274</v>
      </c>
      <c r="K55" s="84">
        <f t="shared" si="11"/>
        <v>1.2412173913043479E-4</v>
      </c>
      <c r="L55" s="60">
        <f>'Analyzier - Inputs'!$E$8*K55*'Analyzier - Inputs'!$E$4*'Analyzier - Inputs'!$B$4*'Analyzier - Inputs'!$H$8</f>
        <v>27916.220347826089</v>
      </c>
      <c r="M55" s="61">
        <f>('Analyzier - Inputs'!$F$8/1000)*'Analyzier - Inputs'!$C$22*24*(365/12)*'Analyzier - Inputs'!$B$4*'Analyzier - Inputs'!$H$8</f>
        <v>18972.408000000003</v>
      </c>
      <c r="N55" s="61">
        <f>(L55-M55)*'Analyzier - Inputs'!$F$4*(1-'Analyzier - Inputs'!$I$4)</f>
        <v>8228.3073599999989</v>
      </c>
      <c r="O55" s="43">
        <f t="shared" si="12"/>
        <v>1007934.7352000001</v>
      </c>
      <c r="P55">
        <f t="shared" si="3"/>
        <v>0</v>
      </c>
      <c r="Q55" s="60">
        <f>'Analyzier - Inputs'!$E$9*K55*'Analyzier - Inputs'!$E$4*'Analyzier - Inputs'!$B$4*'Analyzier - Inputs'!$H$9</f>
        <v>22288.292452173911</v>
      </c>
      <c r="R55" s="61">
        <f>('Analyzier - Inputs'!$F$9/1000)*'Analyzier - Inputs'!$C$22*24*(365/12)*'Analyzier - Inputs'!$B$4*'Analyzier - Inputs'!$H$9</f>
        <v>18934.448</v>
      </c>
      <c r="S55" s="61">
        <f>(Q55-R55)*'Analyzier - Inputs'!$F$4*(1-'Analyzier - Inputs'!$I$4)</f>
        <v>3085.5368959999983</v>
      </c>
      <c r="T55" s="61">
        <f t="shared" si="13"/>
        <v>681033.99206400011</v>
      </c>
      <c r="U55">
        <f t="shared" si="4"/>
        <v>0</v>
      </c>
      <c r="V55" s="60">
        <f>'Analyzier - Inputs'!$E$10*K55*'Analyzier - Inputs'!$E$4*'Analyzier - Inputs'!$B$4*'Analyzier - Inputs'!$H$10</f>
        <v>15952.125913043481</v>
      </c>
      <c r="W55" s="61">
        <f>('Analyzier - Inputs'!$F$10/1000)*'Analyzier - Inputs'!$C$22*24*(365/12)*'Analyzier - Inputs'!$B$4*'Analyzier - Inputs'!$H$10</f>
        <v>18972.408000000003</v>
      </c>
      <c r="X55" s="61">
        <f>(V55-W55)*'Analyzier - Inputs'!$F$4*(1-'Analyzier - Inputs'!$I$4)</f>
        <v>-2778.6595200000006</v>
      </c>
      <c r="Y55" s="61">
        <f t="shared" si="14"/>
        <v>339645.01408000034</v>
      </c>
      <c r="Z55">
        <f t="shared" si="5"/>
        <v>0</v>
      </c>
      <c r="AA55" s="60">
        <f>'Analyzier - Inputs'!$E$11*K55*'Analyzier - Inputs'!$E$4*'Analyzier - Inputs'!$B$4*'Analyzier - Inputs'!$H$11</f>
        <v>32155.59834782609</v>
      </c>
      <c r="AB55" s="61">
        <f>('Analyzier - Inputs'!$F$11/1000)*'Analyzier - Inputs'!$C$22*24*(365/12)*'Analyzier - Inputs'!$B$4*'Analyzier - Inputs'!$H$11</f>
        <v>18978.102000000003</v>
      </c>
      <c r="AC55" s="61">
        <f>(AA55-AB55)*'Analyzier - Inputs'!$F$4*(1-'Analyzier - Inputs'!$I$4)</f>
        <v>12123.29664</v>
      </c>
      <c r="AD55" s="61">
        <f t="shared" si="15"/>
        <v>1253379.644000001</v>
      </c>
      <c r="AE55">
        <f t="shared" si="6"/>
        <v>0</v>
      </c>
      <c r="AF55" s="60">
        <f>'Analyzier - Inputs'!$E$12*K55*'Analyzier - Inputs'!$E$4*'Analyzier - Inputs'!$B$4*'Analyzier - Inputs'!$H$12</f>
        <v>23380.812000000005</v>
      </c>
      <c r="AG55" s="61">
        <f>('Analyzier - Inputs'!$F$12/1000)*'Analyzier - Inputs'!$C$22*24*(365/12)*'Analyzier - Inputs'!$B$4*'Analyzier - Inputs'!$H$12</f>
        <v>18945.836000000003</v>
      </c>
      <c r="AH55" s="61">
        <f>(AF55-AG55)*'Analyzier - Inputs'!$F$4*(1-'Analyzier - Inputs'!$I$4)</f>
        <v>4080.1779200000024</v>
      </c>
      <c r="AI55" s="61">
        <f t="shared" si="16"/>
        <v>820425.39360000135</v>
      </c>
      <c r="AJ55">
        <f t="shared" si="7"/>
        <v>0</v>
      </c>
      <c r="AK55" s="60">
        <f>'Analyzier - Inputs'!$E$13*K55*'Analyzier - Inputs'!$E$4*'Analyzier - Inputs'!$B$4*'Analyzier - Inputs'!$H$13*'Analyzier - Inputs'!$G$4*'Analyzier - Inputs'!$H$4</f>
        <v>26488.572104347833</v>
      </c>
      <c r="AL55" s="61">
        <f>('Analyzier - Inputs'!$F$12/1000)*'Analyzier - Inputs'!$C$22*24*(365/12)*'Analyzier - Inputs'!$B$4*'Analyzier - Inputs'!$H$12</f>
        <v>18945.836000000003</v>
      </c>
      <c r="AM55" s="61">
        <f>(AK55-AL55)*'Analyzier - Inputs'!$F$4</f>
        <v>7542.7361043478304</v>
      </c>
      <c r="AN55" s="61">
        <f t="shared" si="17"/>
        <v>995853.33335373935</v>
      </c>
      <c r="AO55">
        <f t="shared" si="8"/>
        <v>0</v>
      </c>
      <c r="AP55" s="60">
        <f>'Analyzier - Inputs'!$E$14*K55*'Analyzier - Inputs'!$E$4*'Analyzier - Inputs'!$B$4*'Analyzier - Inputs'!$H$14*'Analyzier - Inputs'!$G$4*'Analyzier - Inputs'!$H$4</f>
        <v>32842.612173913047</v>
      </c>
      <c r="AQ55" s="61">
        <f>('Analyzier - Inputs'!$F$12/1000)*'Analyzier - Inputs'!$C$22*24*(365/12)*'Analyzier - Inputs'!$B$4*'Analyzier - Inputs'!$H$12</f>
        <v>18945.836000000003</v>
      </c>
      <c r="AR55" s="61">
        <f>(AP55-AQ55)*'Analyzier - Inputs'!$F$4</f>
        <v>13896.776173913044</v>
      </c>
      <c r="AS55" s="61">
        <f t="shared" si="18"/>
        <v>1371886.6538295664</v>
      </c>
      <c r="AT55">
        <f t="shared" si="9"/>
        <v>0</v>
      </c>
    </row>
    <row r="56" spans="1:46" x14ac:dyDescent="0.2">
      <c r="A56" s="31" t="s">
        <v>93</v>
      </c>
      <c r="B56" s="30">
        <v>45627</v>
      </c>
      <c r="C56" s="31">
        <f t="shared" si="0"/>
        <v>5</v>
      </c>
      <c r="D56" s="31">
        <v>54</v>
      </c>
      <c r="E56" s="29">
        <f t="shared" si="21"/>
        <v>115000</v>
      </c>
      <c r="F56" s="36">
        <f t="shared" si="21"/>
        <v>9000</v>
      </c>
      <c r="G56" s="36">
        <v>3.125</v>
      </c>
      <c r="H56" s="36">
        <f t="shared" si="1"/>
        <v>13725</v>
      </c>
      <c r="I56" s="37">
        <f>H56*'Analyzier - Inputs'!$D$4</f>
        <v>549</v>
      </c>
      <c r="J56" s="36">
        <f t="shared" si="2"/>
        <v>14274</v>
      </c>
      <c r="K56" s="84">
        <f t="shared" si="11"/>
        <v>1.2412173913043479E-4</v>
      </c>
      <c r="L56" s="60">
        <f>'Analyzier - Inputs'!$E$8*K56*'Analyzier - Inputs'!$E$4*'Analyzier - Inputs'!$B$4*'Analyzier - Inputs'!$H$8</f>
        <v>27916.220347826089</v>
      </c>
      <c r="M56" s="61">
        <f>('Analyzier - Inputs'!$F$8/1000)*'Analyzier - Inputs'!$C$22*24*(365/12)*'Analyzier - Inputs'!$B$4*'Analyzier - Inputs'!$H$8</f>
        <v>18972.408000000003</v>
      </c>
      <c r="N56" s="61">
        <f>(L56-M56)*'Analyzier - Inputs'!$F$4*(1-'Analyzier - Inputs'!$I$4)</f>
        <v>8228.3073599999989</v>
      </c>
      <c r="O56" s="43">
        <f t="shared" si="12"/>
        <v>1016163.0425600001</v>
      </c>
      <c r="P56">
        <f t="shared" si="3"/>
        <v>0</v>
      </c>
      <c r="Q56" s="60">
        <f>'Analyzier - Inputs'!$E$9*K56*'Analyzier - Inputs'!$E$4*'Analyzier - Inputs'!$B$4*'Analyzier - Inputs'!$H$9</f>
        <v>22288.292452173911</v>
      </c>
      <c r="R56" s="61">
        <f>('Analyzier - Inputs'!$F$9/1000)*'Analyzier - Inputs'!$C$22*24*(365/12)*'Analyzier - Inputs'!$B$4*'Analyzier - Inputs'!$H$9</f>
        <v>18934.448</v>
      </c>
      <c r="S56" s="61">
        <f>(Q56-R56)*'Analyzier - Inputs'!$F$4*(1-'Analyzier - Inputs'!$I$4)</f>
        <v>3085.5368959999983</v>
      </c>
      <c r="T56" s="61">
        <f t="shared" si="13"/>
        <v>684119.52896000014</v>
      </c>
      <c r="U56">
        <f t="shared" si="4"/>
        <v>0</v>
      </c>
      <c r="V56" s="60">
        <f>'Analyzier - Inputs'!$E$10*K56*'Analyzier - Inputs'!$E$4*'Analyzier - Inputs'!$B$4*'Analyzier - Inputs'!$H$10</f>
        <v>15952.125913043481</v>
      </c>
      <c r="W56" s="61">
        <f>('Analyzier - Inputs'!$F$10/1000)*'Analyzier - Inputs'!$C$22*24*(365/12)*'Analyzier - Inputs'!$B$4*'Analyzier - Inputs'!$H$10</f>
        <v>18972.408000000003</v>
      </c>
      <c r="X56" s="61">
        <f>(V56-W56)*'Analyzier - Inputs'!$F$4*(1-'Analyzier - Inputs'!$I$4)</f>
        <v>-2778.6595200000006</v>
      </c>
      <c r="Y56" s="61">
        <f t="shared" si="14"/>
        <v>336866.35456000036</v>
      </c>
      <c r="Z56">
        <f t="shared" si="5"/>
        <v>0</v>
      </c>
      <c r="AA56" s="60">
        <f>'Analyzier - Inputs'!$E$11*K56*'Analyzier - Inputs'!$E$4*'Analyzier - Inputs'!$B$4*'Analyzier - Inputs'!$H$11</f>
        <v>32155.59834782609</v>
      </c>
      <c r="AB56" s="61">
        <f>('Analyzier - Inputs'!$F$11/1000)*'Analyzier - Inputs'!$C$22*24*(365/12)*'Analyzier - Inputs'!$B$4*'Analyzier - Inputs'!$H$11</f>
        <v>18978.102000000003</v>
      </c>
      <c r="AC56" s="61">
        <f>(AA56-AB56)*'Analyzier - Inputs'!$F$4*(1-'Analyzier - Inputs'!$I$4)</f>
        <v>12123.29664</v>
      </c>
      <c r="AD56" s="61">
        <f t="shared" si="15"/>
        <v>1265502.9406400011</v>
      </c>
      <c r="AE56">
        <f t="shared" si="6"/>
        <v>0</v>
      </c>
      <c r="AF56" s="60">
        <f>'Analyzier - Inputs'!$E$12*K56*'Analyzier - Inputs'!$E$4*'Analyzier - Inputs'!$B$4*'Analyzier - Inputs'!$H$12</f>
        <v>23380.812000000005</v>
      </c>
      <c r="AG56" s="61">
        <f>('Analyzier - Inputs'!$F$12/1000)*'Analyzier - Inputs'!$C$22*24*(365/12)*'Analyzier - Inputs'!$B$4*'Analyzier - Inputs'!$H$12</f>
        <v>18945.836000000003</v>
      </c>
      <c r="AH56" s="61">
        <f>(AF56-AG56)*'Analyzier - Inputs'!$F$4*(1-'Analyzier - Inputs'!$I$4)</f>
        <v>4080.1779200000024</v>
      </c>
      <c r="AI56" s="61">
        <f t="shared" si="16"/>
        <v>824505.57152000139</v>
      </c>
      <c r="AJ56">
        <f t="shared" si="7"/>
        <v>0</v>
      </c>
      <c r="AK56" s="60">
        <f>'Analyzier - Inputs'!$E$13*K56*'Analyzier - Inputs'!$E$4*'Analyzier - Inputs'!$B$4*'Analyzier - Inputs'!$H$13*'Analyzier - Inputs'!$G$4*'Analyzier - Inputs'!$H$4</f>
        <v>26488.572104347833</v>
      </c>
      <c r="AL56" s="61">
        <f>('Analyzier - Inputs'!$F$12/1000)*'Analyzier - Inputs'!$C$22*24*(365/12)*'Analyzier - Inputs'!$B$4*'Analyzier - Inputs'!$H$12</f>
        <v>18945.836000000003</v>
      </c>
      <c r="AM56" s="61">
        <f>(AK56-AL56)*'Analyzier - Inputs'!$F$4</f>
        <v>7542.7361043478304</v>
      </c>
      <c r="AN56" s="61">
        <f t="shared" si="17"/>
        <v>1003396.0694580872</v>
      </c>
      <c r="AO56">
        <f t="shared" si="8"/>
        <v>0</v>
      </c>
      <c r="AP56" s="60">
        <f>'Analyzier - Inputs'!$E$14*K56*'Analyzier - Inputs'!$E$4*'Analyzier - Inputs'!$B$4*'Analyzier - Inputs'!$H$14*'Analyzier - Inputs'!$G$4*'Analyzier - Inputs'!$H$4</f>
        <v>32842.612173913047</v>
      </c>
      <c r="AQ56" s="61">
        <f>('Analyzier - Inputs'!$F$12/1000)*'Analyzier - Inputs'!$C$22*24*(365/12)*'Analyzier - Inputs'!$B$4*'Analyzier - Inputs'!$H$12</f>
        <v>18945.836000000003</v>
      </c>
      <c r="AR56" s="61">
        <f>(AP56-AQ56)*'Analyzier - Inputs'!$F$4</f>
        <v>13896.776173913044</v>
      </c>
      <c r="AS56" s="61">
        <f t="shared" si="18"/>
        <v>1385783.4300034796</v>
      </c>
      <c r="AT56">
        <f t="shared" si="9"/>
        <v>0</v>
      </c>
    </row>
    <row r="57" spans="1:46" x14ac:dyDescent="0.2">
      <c r="A57" s="31" t="s">
        <v>94</v>
      </c>
      <c r="B57" s="30">
        <v>45658</v>
      </c>
      <c r="C57" s="31">
        <f t="shared" si="0"/>
        <v>5</v>
      </c>
      <c r="D57" s="31">
        <v>55</v>
      </c>
      <c r="E57" s="29">
        <f t="shared" si="21"/>
        <v>115000</v>
      </c>
      <c r="F57" s="36">
        <f t="shared" si="21"/>
        <v>9000</v>
      </c>
      <c r="G57" s="36">
        <v>3.125</v>
      </c>
      <c r="H57" s="36">
        <f t="shared" si="1"/>
        <v>13725</v>
      </c>
      <c r="I57" s="37">
        <f>H57*'Analyzier - Inputs'!$D$4</f>
        <v>549</v>
      </c>
      <c r="J57" s="36">
        <f t="shared" si="2"/>
        <v>14274</v>
      </c>
      <c r="K57" s="84">
        <f t="shared" si="11"/>
        <v>1.2412173913043479E-4</v>
      </c>
      <c r="L57" s="60">
        <f>'Analyzier - Inputs'!$E$8*K57*'Analyzier - Inputs'!$E$4*'Analyzier - Inputs'!$B$4*'Analyzier - Inputs'!$H$8</f>
        <v>27916.220347826089</v>
      </c>
      <c r="M57" s="61">
        <f>('Analyzier - Inputs'!$F$8/1000)*'Analyzier - Inputs'!$C$22*24*(365/12)*'Analyzier - Inputs'!$B$4*'Analyzier - Inputs'!$H$8</f>
        <v>18972.408000000003</v>
      </c>
      <c r="N57" s="61">
        <f>(L57-M57)*'Analyzier - Inputs'!$F$4*(1-'Analyzier - Inputs'!$I$4)</f>
        <v>8228.3073599999989</v>
      </c>
      <c r="O57" s="43">
        <f t="shared" si="12"/>
        <v>1024391.3499200001</v>
      </c>
      <c r="P57">
        <f t="shared" si="3"/>
        <v>0</v>
      </c>
      <c r="Q57" s="60">
        <f>'Analyzier - Inputs'!$E$9*K57*'Analyzier - Inputs'!$E$4*'Analyzier - Inputs'!$B$4*'Analyzier - Inputs'!$H$9</f>
        <v>22288.292452173911</v>
      </c>
      <c r="R57" s="61">
        <f>('Analyzier - Inputs'!$F$9/1000)*'Analyzier - Inputs'!$C$22*24*(365/12)*'Analyzier - Inputs'!$B$4*'Analyzier - Inputs'!$H$9</f>
        <v>18934.448</v>
      </c>
      <c r="S57" s="61">
        <f>(Q57-R57)*'Analyzier - Inputs'!$F$4*(1-'Analyzier - Inputs'!$I$4)</f>
        <v>3085.5368959999983</v>
      </c>
      <c r="T57" s="61">
        <f t="shared" si="13"/>
        <v>687205.06585600018</v>
      </c>
      <c r="U57">
        <f t="shared" si="4"/>
        <v>0</v>
      </c>
      <c r="V57" s="60">
        <f>'Analyzier - Inputs'!$E$10*K57*'Analyzier - Inputs'!$E$4*'Analyzier - Inputs'!$B$4*'Analyzier - Inputs'!$H$10</f>
        <v>15952.125913043481</v>
      </c>
      <c r="W57" s="61">
        <f>('Analyzier - Inputs'!$F$10/1000)*'Analyzier - Inputs'!$C$22*24*(365/12)*'Analyzier - Inputs'!$B$4*'Analyzier - Inputs'!$H$10</f>
        <v>18972.408000000003</v>
      </c>
      <c r="X57" s="61">
        <f>(V57-W57)*'Analyzier - Inputs'!$F$4*(1-'Analyzier - Inputs'!$I$4)</f>
        <v>-2778.6595200000006</v>
      </c>
      <c r="Y57" s="61">
        <f t="shared" si="14"/>
        <v>334087.69504000037</v>
      </c>
      <c r="Z57">
        <f t="shared" si="5"/>
        <v>0</v>
      </c>
      <c r="AA57" s="60">
        <f>'Analyzier - Inputs'!$E$11*K57*'Analyzier - Inputs'!$E$4*'Analyzier - Inputs'!$B$4*'Analyzier - Inputs'!$H$11</f>
        <v>32155.59834782609</v>
      </c>
      <c r="AB57" s="61">
        <f>('Analyzier - Inputs'!$F$11/1000)*'Analyzier - Inputs'!$C$22*24*(365/12)*'Analyzier - Inputs'!$B$4*'Analyzier - Inputs'!$H$11</f>
        <v>18978.102000000003</v>
      </c>
      <c r="AC57" s="61">
        <f>(AA57-AB57)*'Analyzier - Inputs'!$F$4*(1-'Analyzier - Inputs'!$I$4)</f>
        <v>12123.29664</v>
      </c>
      <c r="AD57" s="61">
        <f t="shared" si="15"/>
        <v>1277626.2372800012</v>
      </c>
      <c r="AE57">
        <f t="shared" si="6"/>
        <v>0</v>
      </c>
      <c r="AF57" s="60">
        <f>'Analyzier - Inputs'!$E$12*K57*'Analyzier - Inputs'!$E$4*'Analyzier - Inputs'!$B$4*'Analyzier - Inputs'!$H$12</f>
        <v>23380.812000000005</v>
      </c>
      <c r="AG57" s="61">
        <f>('Analyzier - Inputs'!$F$12/1000)*'Analyzier - Inputs'!$C$22*24*(365/12)*'Analyzier - Inputs'!$B$4*'Analyzier - Inputs'!$H$12</f>
        <v>18945.836000000003</v>
      </c>
      <c r="AH57" s="61">
        <f>(AF57-AG57)*'Analyzier - Inputs'!$F$4*(1-'Analyzier - Inputs'!$I$4)</f>
        <v>4080.1779200000024</v>
      </c>
      <c r="AI57" s="61">
        <f t="shared" si="16"/>
        <v>828585.74944000144</v>
      </c>
      <c r="AJ57">
        <f t="shared" si="7"/>
        <v>0</v>
      </c>
      <c r="AK57" s="60">
        <f>'Analyzier - Inputs'!$E$13*K57*'Analyzier - Inputs'!$E$4*'Analyzier - Inputs'!$B$4*'Analyzier - Inputs'!$H$13*'Analyzier - Inputs'!$G$4*'Analyzier - Inputs'!$H$4</f>
        <v>26488.572104347833</v>
      </c>
      <c r="AL57" s="61">
        <f>('Analyzier - Inputs'!$F$12/1000)*'Analyzier - Inputs'!$C$22*24*(365/12)*'Analyzier - Inputs'!$B$4*'Analyzier - Inputs'!$H$12</f>
        <v>18945.836000000003</v>
      </c>
      <c r="AM57" s="61">
        <f>(AK57-AL57)*'Analyzier - Inputs'!$F$4</f>
        <v>7542.7361043478304</v>
      </c>
      <c r="AN57" s="61">
        <f t="shared" si="17"/>
        <v>1010938.8055624351</v>
      </c>
      <c r="AO57">
        <f t="shared" si="8"/>
        <v>0</v>
      </c>
      <c r="AP57" s="60">
        <f>'Analyzier - Inputs'!$E$14*K57*'Analyzier - Inputs'!$E$4*'Analyzier - Inputs'!$B$4*'Analyzier - Inputs'!$H$14*'Analyzier - Inputs'!$G$4*'Analyzier - Inputs'!$H$4</f>
        <v>32842.612173913047</v>
      </c>
      <c r="AQ57" s="61">
        <f>('Analyzier - Inputs'!$F$12/1000)*'Analyzier - Inputs'!$C$22*24*(365/12)*'Analyzier - Inputs'!$B$4*'Analyzier - Inputs'!$H$12</f>
        <v>18945.836000000003</v>
      </c>
      <c r="AR57" s="61">
        <f>(AP57-AQ57)*'Analyzier - Inputs'!$F$4</f>
        <v>13896.776173913044</v>
      </c>
      <c r="AS57" s="61">
        <f t="shared" si="18"/>
        <v>1399680.2061773927</v>
      </c>
      <c r="AT57">
        <f t="shared" si="9"/>
        <v>0</v>
      </c>
    </row>
    <row r="58" spans="1:46" x14ac:dyDescent="0.2">
      <c r="A58" s="31" t="s">
        <v>95</v>
      </c>
      <c r="B58" s="30">
        <v>45689</v>
      </c>
      <c r="C58" s="31">
        <f t="shared" si="0"/>
        <v>5</v>
      </c>
      <c r="D58" s="31">
        <v>56</v>
      </c>
      <c r="E58" s="29">
        <f t="shared" si="21"/>
        <v>115000</v>
      </c>
      <c r="F58" s="36">
        <f t="shared" si="21"/>
        <v>9000</v>
      </c>
      <c r="G58" s="36">
        <v>3.125</v>
      </c>
      <c r="H58" s="36">
        <f t="shared" si="1"/>
        <v>13725</v>
      </c>
      <c r="I58" s="37">
        <f>H58*'Analyzier - Inputs'!$D$4</f>
        <v>549</v>
      </c>
      <c r="J58" s="36">
        <f t="shared" si="2"/>
        <v>14274</v>
      </c>
      <c r="K58" s="84">
        <f t="shared" si="11"/>
        <v>1.2412173913043479E-4</v>
      </c>
      <c r="L58" s="60">
        <f>'Analyzier - Inputs'!$E$8*K58*'Analyzier - Inputs'!$E$4*'Analyzier - Inputs'!$B$4*'Analyzier - Inputs'!$H$8</f>
        <v>27916.220347826089</v>
      </c>
      <c r="M58" s="61">
        <f>('Analyzier - Inputs'!$F$8/1000)*'Analyzier - Inputs'!$C$22*24*(365/12)*'Analyzier - Inputs'!$B$4*'Analyzier - Inputs'!$H$8</f>
        <v>18972.408000000003</v>
      </c>
      <c r="N58" s="61">
        <f>(L58-M58)*'Analyzier - Inputs'!$F$4*(1-'Analyzier - Inputs'!$I$4)</f>
        <v>8228.3073599999989</v>
      </c>
      <c r="O58" s="43">
        <f t="shared" si="12"/>
        <v>1032619.65728</v>
      </c>
      <c r="P58">
        <f t="shared" si="3"/>
        <v>0</v>
      </c>
      <c r="Q58" s="60">
        <f>'Analyzier - Inputs'!$E$9*K58*'Analyzier - Inputs'!$E$4*'Analyzier - Inputs'!$B$4*'Analyzier - Inputs'!$H$9</f>
        <v>22288.292452173911</v>
      </c>
      <c r="R58" s="61">
        <f>('Analyzier - Inputs'!$F$9/1000)*'Analyzier - Inputs'!$C$22*24*(365/12)*'Analyzier - Inputs'!$B$4*'Analyzier - Inputs'!$H$9</f>
        <v>18934.448</v>
      </c>
      <c r="S58" s="61">
        <f>(Q58-R58)*'Analyzier - Inputs'!$F$4*(1-'Analyzier - Inputs'!$I$4)</f>
        <v>3085.5368959999983</v>
      </c>
      <c r="T58" s="61">
        <f t="shared" si="13"/>
        <v>690290.60275200021</v>
      </c>
      <c r="U58">
        <f t="shared" si="4"/>
        <v>0</v>
      </c>
      <c r="V58" s="60">
        <f>'Analyzier - Inputs'!$E$10*K58*'Analyzier - Inputs'!$E$4*'Analyzier - Inputs'!$B$4*'Analyzier - Inputs'!$H$10</f>
        <v>15952.125913043481</v>
      </c>
      <c r="W58" s="61">
        <f>('Analyzier - Inputs'!$F$10/1000)*'Analyzier - Inputs'!$C$22*24*(365/12)*'Analyzier - Inputs'!$B$4*'Analyzier - Inputs'!$H$10</f>
        <v>18972.408000000003</v>
      </c>
      <c r="X58" s="61">
        <f>(V58-W58)*'Analyzier - Inputs'!$F$4*(1-'Analyzier - Inputs'!$I$4)</f>
        <v>-2778.6595200000006</v>
      </c>
      <c r="Y58" s="61">
        <f t="shared" si="14"/>
        <v>331309.03552000038</v>
      </c>
      <c r="Z58">
        <f t="shared" si="5"/>
        <v>0</v>
      </c>
      <c r="AA58" s="60">
        <f>'Analyzier - Inputs'!$E$11*K58*'Analyzier - Inputs'!$E$4*'Analyzier - Inputs'!$B$4*'Analyzier - Inputs'!$H$11</f>
        <v>32155.59834782609</v>
      </c>
      <c r="AB58" s="61">
        <f>('Analyzier - Inputs'!$F$11/1000)*'Analyzier - Inputs'!$C$22*24*(365/12)*'Analyzier - Inputs'!$B$4*'Analyzier - Inputs'!$H$11</f>
        <v>18978.102000000003</v>
      </c>
      <c r="AC58" s="61">
        <f>(AA58-AB58)*'Analyzier - Inputs'!$F$4*(1-'Analyzier - Inputs'!$I$4)</f>
        <v>12123.29664</v>
      </c>
      <c r="AD58" s="61">
        <f t="shared" si="15"/>
        <v>1289749.5339200012</v>
      </c>
      <c r="AE58">
        <f t="shared" si="6"/>
        <v>0</v>
      </c>
      <c r="AF58" s="60">
        <f>'Analyzier - Inputs'!$E$12*K58*'Analyzier - Inputs'!$E$4*'Analyzier - Inputs'!$B$4*'Analyzier - Inputs'!$H$12</f>
        <v>23380.812000000005</v>
      </c>
      <c r="AG58" s="61">
        <f>('Analyzier - Inputs'!$F$12/1000)*'Analyzier - Inputs'!$C$22*24*(365/12)*'Analyzier - Inputs'!$B$4*'Analyzier - Inputs'!$H$12</f>
        <v>18945.836000000003</v>
      </c>
      <c r="AH58" s="61">
        <f>(AF58-AG58)*'Analyzier - Inputs'!$F$4*(1-'Analyzier - Inputs'!$I$4)</f>
        <v>4080.1779200000024</v>
      </c>
      <c r="AI58" s="61">
        <f t="shared" si="16"/>
        <v>832665.92736000149</v>
      </c>
      <c r="AJ58">
        <f t="shared" si="7"/>
        <v>0</v>
      </c>
      <c r="AK58" s="60">
        <f>'Analyzier - Inputs'!$E$13*K58*'Analyzier - Inputs'!$E$4*'Analyzier - Inputs'!$B$4*'Analyzier - Inputs'!$H$13*'Analyzier - Inputs'!$G$4*'Analyzier - Inputs'!$H$4</f>
        <v>26488.572104347833</v>
      </c>
      <c r="AL58" s="61">
        <f>('Analyzier - Inputs'!$F$12/1000)*'Analyzier - Inputs'!$C$22*24*(365/12)*'Analyzier - Inputs'!$B$4*'Analyzier - Inputs'!$H$12</f>
        <v>18945.836000000003</v>
      </c>
      <c r="AM58" s="61">
        <f>(AK58-AL58)*'Analyzier - Inputs'!$F$4</f>
        <v>7542.7361043478304</v>
      </c>
      <c r="AN58" s="61">
        <f t="shared" si="17"/>
        <v>1018481.5416667829</v>
      </c>
      <c r="AO58">
        <f t="shared" si="8"/>
        <v>0</v>
      </c>
      <c r="AP58" s="60">
        <f>'Analyzier - Inputs'!$E$14*K58*'Analyzier - Inputs'!$E$4*'Analyzier - Inputs'!$B$4*'Analyzier - Inputs'!$H$14*'Analyzier - Inputs'!$G$4*'Analyzier - Inputs'!$H$4</f>
        <v>32842.612173913047</v>
      </c>
      <c r="AQ58" s="61">
        <f>('Analyzier - Inputs'!$F$12/1000)*'Analyzier - Inputs'!$C$22*24*(365/12)*'Analyzier - Inputs'!$B$4*'Analyzier - Inputs'!$H$12</f>
        <v>18945.836000000003</v>
      </c>
      <c r="AR58" s="61">
        <f>(AP58-AQ58)*'Analyzier - Inputs'!$F$4</f>
        <v>13896.776173913044</v>
      </c>
      <c r="AS58" s="61">
        <f t="shared" si="18"/>
        <v>1413576.9823513059</v>
      </c>
      <c r="AT58">
        <f t="shared" si="9"/>
        <v>0</v>
      </c>
    </row>
    <row r="59" spans="1:46" x14ac:dyDescent="0.2">
      <c r="A59" s="31" t="s">
        <v>96</v>
      </c>
      <c r="B59" s="30">
        <v>45717</v>
      </c>
      <c r="C59" s="31">
        <f t="shared" si="0"/>
        <v>5</v>
      </c>
      <c r="D59" s="31">
        <v>57</v>
      </c>
      <c r="E59" s="29">
        <f t="shared" si="21"/>
        <v>115000</v>
      </c>
      <c r="F59" s="36">
        <f t="shared" si="21"/>
        <v>9000</v>
      </c>
      <c r="G59" s="36">
        <v>3.125</v>
      </c>
      <c r="H59" s="36">
        <f t="shared" si="1"/>
        <v>13725</v>
      </c>
      <c r="I59" s="37">
        <f>H59*'Analyzier - Inputs'!$D$4</f>
        <v>549</v>
      </c>
      <c r="J59" s="36">
        <f t="shared" si="2"/>
        <v>14274</v>
      </c>
      <c r="K59" s="84">
        <f t="shared" si="11"/>
        <v>1.2412173913043479E-4</v>
      </c>
      <c r="L59" s="60">
        <f>'Analyzier - Inputs'!$E$8*K59*'Analyzier - Inputs'!$E$4*'Analyzier - Inputs'!$B$4*'Analyzier - Inputs'!$H$8</f>
        <v>27916.220347826089</v>
      </c>
      <c r="M59" s="61">
        <f>('Analyzier - Inputs'!$F$8/1000)*'Analyzier - Inputs'!$C$22*24*(365/12)*'Analyzier - Inputs'!$B$4*'Analyzier - Inputs'!$H$8</f>
        <v>18972.408000000003</v>
      </c>
      <c r="N59" s="61">
        <f>(L59-M59)*'Analyzier - Inputs'!$F$4*(1-'Analyzier - Inputs'!$I$4)</f>
        <v>8228.3073599999989</v>
      </c>
      <c r="O59" s="43">
        <f t="shared" si="12"/>
        <v>1040847.96464</v>
      </c>
      <c r="P59">
        <f t="shared" si="3"/>
        <v>0</v>
      </c>
      <c r="Q59" s="60">
        <f>'Analyzier - Inputs'!$E$9*K59*'Analyzier - Inputs'!$E$4*'Analyzier - Inputs'!$B$4*'Analyzier - Inputs'!$H$9</f>
        <v>22288.292452173911</v>
      </c>
      <c r="R59" s="61">
        <f>('Analyzier - Inputs'!$F$9/1000)*'Analyzier - Inputs'!$C$22*24*(365/12)*'Analyzier - Inputs'!$B$4*'Analyzier - Inputs'!$H$9</f>
        <v>18934.448</v>
      </c>
      <c r="S59" s="61">
        <f>(Q59-R59)*'Analyzier - Inputs'!$F$4*(1-'Analyzier - Inputs'!$I$4)</f>
        <v>3085.5368959999983</v>
      </c>
      <c r="T59" s="61">
        <f t="shared" si="13"/>
        <v>693376.13964800024</v>
      </c>
      <c r="U59">
        <f t="shared" si="4"/>
        <v>0</v>
      </c>
      <c r="V59" s="60">
        <f>'Analyzier - Inputs'!$E$10*K59*'Analyzier - Inputs'!$E$4*'Analyzier - Inputs'!$B$4*'Analyzier - Inputs'!$H$10</f>
        <v>15952.125913043481</v>
      </c>
      <c r="W59" s="61">
        <f>('Analyzier - Inputs'!$F$10/1000)*'Analyzier - Inputs'!$C$22*24*(365/12)*'Analyzier - Inputs'!$B$4*'Analyzier - Inputs'!$H$10</f>
        <v>18972.408000000003</v>
      </c>
      <c r="X59" s="61">
        <f>(V59-W59)*'Analyzier - Inputs'!$F$4*(1-'Analyzier - Inputs'!$I$4)</f>
        <v>-2778.6595200000006</v>
      </c>
      <c r="Y59" s="61">
        <f t="shared" si="14"/>
        <v>328530.3760000004</v>
      </c>
      <c r="Z59">
        <f t="shared" si="5"/>
        <v>0</v>
      </c>
      <c r="AA59" s="60">
        <f>'Analyzier - Inputs'!$E$11*K59*'Analyzier - Inputs'!$E$4*'Analyzier - Inputs'!$B$4*'Analyzier - Inputs'!$H$11</f>
        <v>32155.59834782609</v>
      </c>
      <c r="AB59" s="61">
        <f>('Analyzier - Inputs'!$F$11/1000)*'Analyzier - Inputs'!$C$22*24*(365/12)*'Analyzier - Inputs'!$B$4*'Analyzier - Inputs'!$H$11</f>
        <v>18978.102000000003</v>
      </c>
      <c r="AC59" s="61">
        <f>(AA59-AB59)*'Analyzier - Inputs'!$F$4*(1-'Analyzier - Inputs'!$I$4)</f>
        <v>12123.29664</v>
      </c>
      <c r="AD59" s="61">
        <f t="shared" si="15"/>
        <v>1301872.8305600013</v>
      </c>
      <c r="AE59">
        <f t="shared" si="6"/>
        <v>0</v>
      </c>
      <c r="AF59" s="60">
        <f>'Analyzier - Inputs'!$E$12*K59*'Analyzier - Inputs'!$E$4*'Analyzier - Inputs'!$B$4*'Analyzier - Inputs'!$H$12</f>
        <v>23380.812000000005</v>
      </c>
      <c r="AG59" s="61">
        <f>('Analyzier - Inputs'!$F$12/1000)*'Analyzier - Inputs'!$C$22*24*(365/12)*'Analyzier - Inputs'!$B$4*'Analyzier - Inputs'!$H$12</f>
        <v>18945.836000000003</v>
      </c>
      <c r="AH59" s="61">
        <f>(AF59-AG59)*'Analyzier - Inputs'!$F$4*(1-'Analyzier - Inputs'!$I$4)</f>
        <v>4080.1779200000024</v>
      </c>
      <c r="AI59" s="61">
        <f t="shared" si="16"/>
        <v>836746.10528000153</v>
      </c>
      <c r="AJ59">
        <f t="shared" si="7"/>
        <v>0</v>
      </c>
      <c r="AK59" s="60">
        <f>'Analyzier - Inputs'!$E$13*K59*'Analyzier - Inputs'!$E$4*'Analyzier - Inputs'!$B$4*'Analyzier - Inputs'!$H$13*'Analyzier - Inputs'!$G$4*'Analyzier - Inputs'!$H$4</f>
        <v>26488.572104347833</v>
      </c>
      <c r="AL59" s="61">
        <f>('Analyzier - Inputs'!$F$12/1000)*'Analyzier - Inputs'!$C$22*24*(365/12)*'Analyzier - Inputs'!$B$4*'Analyzier - Inputs'!$H$12</f>
        <v>18945.836000000003</v>
      </c>
      <c r="AM59" s="61">
        <f>(AK59-AL59)*'Analyzier - Inputs'!$F$4</f>
        <v>7542.7361043478304</v>
      </c>
      <c r="AN59" s="61">
        <f t="shared" si="17"/>
        <v>1026024.2777711308</v>
      </c>
      <c r="AO59">
        <f t="shared" si="8"/>
        <v>0</v>
      </c>
      <c r="AP59" s="60">
        <f>'Analyzier - Inputs'!$E$14*K59*'Analyzier - Inputs'!$E$4*'Analyzier - Inputs'!$B$4*'Analyzier - Inputs'!$H$14*'Analyzier - Inputs'!$G$4*'Analyzier - Inputs'!$H$4</f>
        <v>32842.612173913047</v>
      </c>
      <c r="AQ59" s="61">
        <f>('Analyzier - Inputs'!$F$12/1000)*'Analyzier - Inputs'!$C$22*24*(365/12)*'Analyzier - Inputs'!$B$4*'Analyzier - Inputs'!$H$12</f>
        <v>18945.836000000003</v>
      </c>
      <c r="AR59" s="61">
        <f>(AP59-AQ59)*'Analyzier - Inputs'!$F$4</f>
        <v>13896.776173913044</v>
      </c>
      <c r="AS59" s="61">
        <f t="shared" si="18"/>
        <v>1427473.758525219</v>
      </c>
      <c r="AT59">
        <f t="shared" si="9"/>
        <v>0</v>
      </c>
    </row>
    <row r="60" spans="1:46" x14ac:dyDescent="0.2">
      <c r="C60" s="31"/>
      <c r="D60" s="31"/>
    </row>
    <row r="61" spans="1:46" x14ac:dyDescent="0.2">
      <c r="C61" s="31"/>
      <c r="D61" s="31"/>
    </row>
    <row r="62" spans="1:46" x14ac:dyDescent="0.2">
      <c r="C62" s="31"/>
      <c r="D62" s="31"/>
    </row>
  </sheetData>
  <mergeCells count="9">
    <mergeCell ref="AK1:AO1"/>
    <mergeCell ref="AP1:AT1"/>
    <mergeCell ref="AF1:AJ1"/>
    <mergeCell ref="A1:D1"/>
    <mergeCell ref="E1:K1"/>
    <mergeCell ref="L1:P1"/>
    <mergeCell ref="Q1:U1"/>
    <mergeCell ref="V1:Z1"/>
    <mergeCell ref="AA1:A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Analyzier - Inputs</vt:lpstr>
      <vt:lpstr>Miner Performance &amp; Resilience</vt:lpstr>
      <vt:lpstr>Miner Analyzier - Financial KPI</vt:lpstr>
      <vt:lpstr>Cash Flow - DC Operation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bmaia</cp:lastModifiedBy>
  <cp:lastPrinted>2020-06-29T07:42:33Z</cp:lastPrinted>
  <dcterms:created xsi:type="dcterms:W3CDTF">2019-09-20T18:52:13Z</dcterms:created>
  <dcterms:modified xsi:type="dcterms:W3CDTF">2020-07-06T13:56:46Z</dcterms:modified>
</cp:coreProperties>
</file>