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Juan Manuel Moreno J\Desktop\Buena Mesa\Buena Mesa\"/>
    </mc:Choice>
  </mc:AlternateContent>
  <xr:revisionPtr revIDLastSave="0" documentId="13_ncr:1_{F892F18B-2B69-433E-83F0-18997FBDE980}" xr6:coauthVersionLast="45" xr6:coauthVersionMax="45" xr10:uidLastSave="{00000000-0000-0000-0000-000000000000}"/>
  <bookViews>
    <workbookView xWindow="-110" yWindow="-110" windowWidth="19420" windowHeight="11020" tabRatio="728" activeTab="3" xr2:uid="{00000000-000D-0000-FFFF-FFFF00000000}"/>
  </bookViews>
  <sheets>
    <sheet name="Nómina" sheetId="4" r:id="rId1"/>
    <sheet name="Ventas por día" sheetId="10" r:id="rId2"/>
    <sheet name="Presupuesto -1" sheetId="14" r:id="rId3"/>
    <sheet name="Presupuesto 0" sheetId="7" r:id="rId4"/>
    <sheet name="Presupuesto 1" sheetId="5" r:id="rId5"/>
    <sheet name="Presupuesto 2" sheetId="11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56" i="14" l="1"/>
  <c r="Z55" i="14"/>
  <c r="Z54" i="14"/>
  <c r="Z53" i="14"/>
  <c r="Z51" i="14"/>
  <c r="Z50" i="14"/>
  <c r="Z49" i="14"/>
  <c r="Z48" i="14"/>
  <c r="Z47" i="14"/>
  <c r="Z44" i="14"/>
  <c r="Z42" i="14"/>
  <c r="X56" i="14"/>
  <c r="X55" i="14"/>
  <c r="X54" i="14"/>
  <c r="X53" i="14"/>
  <c r="X51" i="14"/>
  <c r="X50" i="14"/>
  <c r="X49" i="14"/>
  <c r="X48" i="14"/>
  <c r="X47" i="14"/>
  <c r="X44" i="14"/>
  <c r="X42" i="14"/>
  <c r="V56" i="14"/>
  <c r="V55" i="14"/>
  <c r="V54" i="14"/>
  <c r="V53" i="14"/>
  <c r="V51" i="14"/>
  <c r="V50" i="14"/>
  <c r="V49" i="14"/>
  <c r="V48" i="14"/>
  <c r="V47" i="14"/>
  <c r="V44" i="14"/>
  <c r="V42" i="14"/>
  <c r="T56" i="14"/>
  <c r="T55" i="14"/>
  <c r="T54" i="14"/>
  <c r="T53" i="14"/>
  <c r="T51" i="14"/>
  <c r="T50" i="14"/>
  <c r="T49" i="14"/>
  <c r="T48" i="14"/>
  <c r="T47" i="14"/>
  <c r="T44" i="14"/>
  <c r="T42" i="14"/>
  <c r="R56" i="14"/>
  <c r="R55" i="14"/>
  <c r="R54" i="14"/>
  <c r="R53" i="14"/>
  <c r="R51" i="14"/>
  <c r="R50" i="14"/>
  <c r="R49" i="14"/>
  <c r="R48" i="14"/>
  <c r="R47" i="14"/>
  <c r="R44" i="14"/>
  <c r="R42" i="14"/>
  <c r="P56" i="14"/>
  <c r="P55" i="14"/>
  <c r="P54" i="14"/>
  <c r="P53" i="14"/>
  <c r="P51" i="14"/>
  <c r="P50" i="14"/>
  <c r="P49" i="14"/>
  <c r="P48" i="14"/>
  <c r="P47" i="14"/>
  <c r="P44" i="14"/>
  <c r="P42" i="14"/>
  <c r="N56" i="14"/>
  <c r="N55" i="14"/>
  <c r="N54" i="14"/>
  <c r="N53" i="14"/>
  <c r="N51" i="14"/>
  <c r="N50" i="14"/>
  <c r="N49" i="14"/>
  <c r="N48" i="14"/>
  <c r="N47" i="14"/>
  <c r="N44" i="14"/>
  <c r="N42" i="14"/>
  <c r="L56" i="14"/>
  <c r="L55" i="14"/>
  <c r="L54" i="14"/>
  <c r="L53" i="14"/>
  <c r="L51" i="14"/>
  <c r="L50" i="14"/>
  <c r="L49" i="14"/>
  <c r="L48" i="14"/>
  <c r="L47" i="14"/>
  <c r="L44" i="14"/>
  <c r="L42" i="14"/>
  <c r="J56" i="14"/>
  <c r="J55" i="14"/>
  <c r="J54" i="14"/>
  <c r="J53" i="14"/>
  <c r="J51" i="14"/>
  <c r="J50" i="14"/>
  <c r="J49" i="14"/>
  <c r="J48" i="14"/>
  <c r="J47" i="14"/>
  <c r="J44" i="14"/>
  <c r="J42" i="14"/>
  <c r="H56" i="14"/>
  <c r="H55" i="14"/>
  <c r="H54" i="14"/>
  <c r="H53" i="14"/>
  <c r="H51" i="14"/>
  <c r="H50" i="14"/>
  <c r="H49" i="14"/>
  <c r="H48" i="14"/>
  <c r="H47" i="14"/>
  <c r="H44" i="14"/>
  <c r="H42" i="14"/>
  <c r="D56" i="14"/>
  <c r="D55" i="14"/>
  <c r="D54" i="14"/>
  <c r="D53" i="14"/>
  <c r="D51" i="14"/>
  <c r="D50" i="14"/>
  <c r="D49" i="14"/>
  <c r="D48" i="14"/>
  <c r="D47" i="14"/>
  <c r="D51" i="4"/>
  <c r="A45" i="4"/>
  <c r="Z45" i="7" l="1"/>
  <c r="X45" i="7"/>
  <c r="V45" i="7"/>
  <c r="T45" i="7"/>
  <c r="R45" i="7"/>
  <c r="P45" i="7"/>
  <c r="N45" i="7"/>
  <c r="L45" i="7"/>
  <c r="J45" i="7"/>
  <c r="H45" i="7"/>
  <c r="F45" i="7"/>
  <c r="D45" i="7"/>
  <c r="Z44" i="7"/>
  <c r="X44" i="7"/>
  <c r="V44" i="7"/>
  <c r="T44" i="7"/>
  <c r="R44" i="7"/>
  <c r="P44" i="7"/>
  <c r="N44" i="7"/>
  <c r="L44" i="7"/>
  <c r="J44" i="7"/>
  <c r="H44" i="7"/>
  <c r="F44" i="7"/>
  <c r="D44" i="7"/>
  <c r="AB43" i="7"/>
  <c r="Z42" i="7"/>
  <c r="X42" i="7"/>
  <c r="V42" i="7"/>
  <c r="T42" i="7"/>
  <c r="R42" i="7"/>
  <c r="P42" i="7"/>
  <c r="N42" i="7"/>
  <c r="L42" i="7"/>
  <c r="J42" i="7"/>
  <c r="H42" i="7"/>
  <c r="F42" i="7"/>
  <c r="D42" i="7"/>
  <c r="A44" i="4"/>
  <c r="T28" i="7" s="1"/>
  <c r="E63" i="4"/>
  <c r="B1" i="14"/>
  <c r="B1" i="7"/>
  <c r="B1" i="5"/>
  <c r="B1" i="11"/>
  <c r="A1" i="10"/>
  <c r="AB45" i="7" l="1"/>
  <c r="AB42" i="7"/>
  <c r="F28" i="7"/>
  <c r="N28" i="7"/>
  <c r="V28" i="7"/>
  <c r="H28" i="7"/>
  <c r="P28" i="7"/>
  <c r="X28" i="7"/>
  <c r="J28" i="7"/>
  <c r="R28" i="7"/>
  <c r="Z28" i="7"/>
  <c r="D28" i="7"/>
  <c r="L28" i="7"/>
  <c r="AB44" i="7"/>
  <c r="F44" i="14" l="1"/>
  <c r="F42" i="14"/>
  <c r="D44" i="14"/>
  <c r="D42" i="14"/>
  <c r="Z44" i="11"/>
  <c r="Z42" i="11"/>
  <c r="X44" i="11"/>
  <c r="X42" i="11"/>
  <c r="V44" i="11"/>
  <c r="V42" i="11"/>
  <c r="T44" i="11"/>
  <c r="T42" i="11"/>
  <c r="R44" i="11"/>
  <c r="R42" i="11"/>
  <c r="P44" i="11"/>
  <c r="P42" i="11"/>
  <c r="N44" i="11"/>
  <c r="N42" i="11"/>
  <c r="L44" i="11"/>
  <c r="L42" i="11"/>
  <c r="J44" i="11"/>
  <c r="J42" i="11"/>
  <c r="H44" i="11"/>
  <c r="H42" i="11"/>
  <c r="F44" i="11"/>
  <c r="F42" i="11"/>
  <c r="D44" i="11"/>
  <c r="D42" i="11"/>
  <c r="Z44" i="5"/>
  <c r="Z42" i="5"/>
  <c r="AB43" i="5"/>
  <c r="X44" i="5"/>
  <c r="X42" i="5"/>
  <c r="V44" i="5"/>
  <c r="V42" i="5"/>
  <c r="T44" i="5"/>
  <c r="T42" i="5"/>
  <c r="R44" i="5"/>
  <c r="R42" i="5"/>
  <c r="P44" i="5"/>
  <c r="P42" i="5"/>
  <c r="N44" i="5"/>
  <c r="N42" i="5"/>
  <c r="L44" i="5"/>
  <c r="L42" i="5"/>
  <c r="J44" i="5"/>
  <c r="J42" i="5"/>
  <c r="H44" i="5"/>
  <c r="H42" i="5"/>
  <c r="F44" i="5"/>
  <c r="F42" i="5"/>
  <c r="D44" i="5"/>
  <c r="D42" i="5"/>
  <c r="Z41" i="7"/>
  <c r="X41" i="7"/>
  <c r="V41" i="7"/>
  <c r="T41" i="7"/>
  <c r="R41" i="7"/>
  <c r="P41" i="7"/>
  <c r="N41" i="7"/>
  <c r="L41" i="7"/>
  <c r="J41" i="7"/>
  <c r="H41" i="7"/>
  <c r="F41" i="7"/>
  <c r="D41" i="7"/>
  <c r="F48" i="4"/>
  <c r="E46" i="4"/>
  <c r="D42" i="4"/>
  <c r="G42" i="4" s="1"/>
  <c r="D41" i="4"/>
  <c r="G41" i="4" s="1"/>
  <c r="D40" i="4"/>
  <c r="G40" i="4" s="1"/>
  <c r="D39" i="4"/>
  <c r="G39" i="4" s="1"/>
  <c r="D38" i="4"/>
  <c r="G38" i="4" s="1"/>
  <c r="D37" i="4"/>
  <c r="G37" i="4" s="1"/>
  <c r="D35" i="4"/>
  <c r="G35" i="4" s="1"/>
  <c r="D34" i="4"/>
  <c r="G34" i="4" s="1"/>
  <c r="D33" i="4"/>
  <c r="G33" i="4" s="1"/>
  <c r="D32" i="4"/>
  <c r="G32" i="4" s="1"/>
  <c r="D30" i="4"/>
  <c r="G30" i="4" s="1"/>
  <c r="D29" i="4"/>
  <c r="G29" i="4" s="1"/>
  <c r="D28" i="4"/>
  <c r="G28" i="4" s="1"/>
  <c r="D27" i="4"/>
  <c r="G27" i="4" s="1"/>
  <c r="D26" i="4"/>
  <c r="G26" i="4" s="1"/>
  <c r="D25" i="4"/>
  <c r="G25" i="4" s="1"/>
  <c r="D24" i="4"/>
  <c r="G24" i="4" s="1"/>
  <c r="D23" i="4"/>
  <c r="E19" i="4"/>
  <c r="D16" i="4"/>
  <c r="G16" i="4" s="1"/>
  <c r="D15" i="4"/>
  <c r="G15" i="4" s="1"/>
  <c r="D14" i="4"/>
  <c r="E12" i="4"/>
  <c r="D11" i="4"/>
  <c r="G11" i="4" s="1"/>
  <c r="D10" i="4"/>
  <c r="G10" i="4" s="1"/>
  <c r="D9" i="4"/>
  <c r="G9" i="4" s="1"/>
  <c r="D8" i="4"/>
  <c r="G8" i="4" s="1"/>
  <c r="D7" i="4"/>
  <c r="G7" i="4" s="1"/>
  <c r="D6" i="4"/>
  <c r="G6" i="4" s="1"/>
  <c r="D43" i="4" l="1"/>
  <c r="T48" i="7"/>
  <c r="L48" i="7"/>
  <c r="D48" i="7"/>
  <c r="R48" i="7"/>
  <c r="J48" i="7"/>
  <c r="Z48" i="7"/>
  <c r="X48" i="7"/>
  <c r="P48" i="7"/>
  <c r="H48" i="7"/>
  <c r="N48" i="7"/>
  <c r="F48" i="7"/>
  <c r="V48" i="7"/>
  <c r="AB44" i="5"/>
  <c r="AB42" i="5"/>
  <c r="D19" i="4"/>
  <c r="G12" i="4"/>
  <c r="G14" i="4"/>
  <c r="G19" i="4" s="1"/>
  <c r="G23" i="4"/>
  <c r="D12" i="4"/>
  <c r="D46" i="4" l="1"/>
  <c r="AB48" i="7"/>
  <c r="B39" i="11" l="1"/>
  <c r="B39" i="5"/>
  <c r="B39" i="14"/>
  <c r="D16" i="11" l="1"/>
  <c r="D16" i="5"/>
  <c r="D16" i="14"/>
  <c r="AA39" i="11" l="1"/>
  <c r="Y39" i="11"/>
  <c r="W39" i="11"/>
  <c r="U39" i="11"/>
  <c r="S39" i="11"/>
  <c r="Q39" i="11"/>
  <c r="O39" i="11"/>
  <c r="M39" i="11"/>
  <c r="K39" i="11"/>
  <c r="I39" i="11"/>
  <c r="G39" i="11"/>
  <c r="E39" i="11"/>
  <c r="AA39" i="5"/>
  <c r="Y39" i="5"/>
  <c r="W39" i="5"/>
  <c r="U39" i="5"/>
  <c r="S39" i="5"/>
  <c r="Q39" i="5"/>
  <c r="O39" i="5"/>
  <c r="M39" i="5"/>
  <c r="K39" i="5"/>
  <c r="I39" i="5"/>
  <c r="G39" i="5"/>
  <c r="E39" i="5"/>
  <c r="C20" i="11" l="1"/>
  <c r="C19" i="11"/>
  <c r="C20" i="5"/>
  <c r="C19" i="5"/>
  <c r="B2" i="11"/>
  <c r="B2" i="5"/>
  <c r="B2" i="14"/>
  <c r="C20" i="14"/>
  <c r="C19" i="14"/>
  <c r="H29" i="14" l="1"/>
  <c r="I29" i="14" s="1"/>
  <c r="H29" i="11"/>
  <c r="H29" i="5"/>
  <c r="R29" i="5"/>
  <c r="R29" i="14"/>
  <c r="R29" i="11"/>
  <c r="T29" i="5"/>
  <c r="T29" i="14"/>
  <c r="T29" i="11"/>
  <c r="P29" i="14"/>
  <c r="P29" i="11"/>
  <c r="P29" i="5"/>
  <c r="Z29" i="14"/>
  <c r="AA29" i="14" s="1"/>
  <c r="Z29" i="5"/>
  <c r="Z29" i="11"/>
  <c r="AA29" i="11" s="1"/>
  <c r="F29" i="5"/>
  <c r="F29" i="14"/>
  <c r="F29" i="11"/>
  <c r="X29" i="14"/>
  <c r="X29" i="5"/>
  <c r="X29" i="11"/>
  <c r="D29" i="5"/>
  <c r="D29" i="14"/>
  <c r="D29" i="11"/>
  <c r="N29" i="5"/>
  <c r="N29" i="14"/>
  <c r="N29" i="11"/>
  <c r="J29" i="5"/>
  <c r="J29" i="14"/>
  <c r="J29" i="11"/>
  <c r="L29" i="11"/>
  <c r="L29" i="5"/>
  <c r="L29" i="14"/>
  <c r="V29" i="5"/>
  <c r="V29" i="14"/>
  <c r="V29" i="11"/>
  <c r="AB29" i="11" l="1"/>
  <c r="AB29" i="14"/>
  <c r="AA39" i="14"/>
  <c r="Y39" i="14"/>
  <c r="W39" i="14"/>
  <c r="U39" i="14"/>
  <c r="S39" i="14"/>
  <c r="Q39" i="14"/>
  <c r="O39" i="14"/>
  <c r="M39" i="14"/>
  <c r="K39" i="14"/>
  <c r="I39" i="14"/>
  <c r="G39" i="14"/>
  <c r="E39" i="14" l="1"/>
  <c r="Z56" i="11"/>
  <c r="X56" i="11"/>
  <c r="Y56" i="11" s="1"/>
  <c r="V56" i="11"/>
  <c r="W56" i="11" s="1"/>
  <c r="T56" i="11"/>
  <c r="U56" i="11" s="1"/>
  <c r="R56" i="11"/>
  <c r="S56" i="11" s="1"/>
  <c r="P56" i="11"/>
  <c r="Q56" i="11" s="1"/>
  <c r="N56" i="11"/>
  <c r="O56" i="11" s="1"/>
  <c r="L56" i="11"/>
  <c r="M56" i="11" s="1"/>
  <c r="J56" i="11"/>
  <c r="K56" i="11" s="1"/>
  <c r="H56" i="11"/>
  <c r="I56" i="11" s="1"/>
  <c r="F56" i="11"/>
  <c r="G56" i="11" s="1"/>
  <c r="D56" i="11"/>
  <c r="E56" i="11" s="1"/>
  <c r="Z55" i="11"/>
  <c r="X55" i="11"/>
  <c r="V55" i="11"/>
  <c r="T55" i="11"/>
  <c r="R55" i="11"/>
  <c r="P55" i="11"/>
  <c r="N55" i="11"/>
  <c r="L55" i="11"/>
  <c r="J55" i="11"/>
  <c r="H55" i="11"/>
  <c r="F55" i="11"/>
  <c r="D55" i="11"/>
  <c r="E55" i="11" s="1"/>
  <c r="Z54" i="11"/>
  <c r="X54" i="11"/>
  <c r="Y54" i="11" s="1"/>
  <c r="V54" i="11"/>
  <c r="W54" i="11" s="1"/>
  <c r="T54" i="11"/>
  <c r="U54" i="11" s="1"/>
  <c r="R54" i="11"/>
  <c r="S54" i="11" s="1"/>
  <c r="P54" i="11"/>
  <c r="Q54" i="11" s="1"/>
  <c r="N54" i="11"/>
  <c r="O54" i="11" s="1"/>
  <c r="L54" i="11"/>
  <c r="M54" i="11" s="1"/>
  <c r="J54" i="11"/>
  <c r="K54" i="11" s="1"/>
  <c r="H54" i="11"/>
  <c r="I54" i="11" s="1"/>
  <c r="F54" i="11"/>
  <c r="G54" i="11" s="1"/>
  <c r="D54" i="11"/>
  <c r="E54" i="11" s="1"/>
  <c r="Z53" i="11"/>
  <c r="X53" i="11"/>
  <c r="V53" i="11"/>
  <c r="T53" i="11"/>
  <c r="R53" i="11"/>
  <c r="P53" i="11"/>
  <c r="N53" i="11"/>
  <c r="L53" i="11"/>
  <c r="J53" i="11"/>
  <c r="H53" i="11"/>
  <c r="F53" i="11"/>
  <c r="D53" i="11"/>
  <c r="Z51" i="11"/>
  <c r="X51" i="11"/>
  <c r="V51" i="11"/>
  <c r="T51" i="11"/>
  <c r="R51" i="11"/>
  <c r="P51" i="11"/>
  <c r="N51" i="11"/>
  <c r="L51" i="11"/>
  <c r="J51" i="11"/>
  <c r="H51" i="11"/>
  <c r="F51" i="11"/>
  <c r="D51" i="11"/>
  <c r="Z50" i="11"/>
  <c r="X50" i="11"/>
  <c r="V50" i="11"/>
  <c r="T50" i="11"/>
  <c r="R50" i="11"/>
  <c r="P50" i="11"/>
  <c r="N50" i="11"/>
  <c r="L50" i="11"/>
  <c r="J50" i="11"/>
  <c r="H50" i="11"/>
  <c r="F50" i="11"/>
  <c r="D50" i="11"/>
  <c r="Z49" i="11"/>
  <c r="X49" i="11"/>
  <c r="V49" i="11"/>
  <c r="T49" i="11"/>
  <c r="R49" i="11"/>
  <c r="P49" i="11"/>
  <c r="N49" i="11"/>
  <c r="L49" i="11"/>
  <c r="J49" i="11"/>
  <c r="H49" i="11"/>
  <c r="F49" i="11"/>
  <c r="D49" i="11"/>
  <c r="Z48" i="11"/>
  <c r="X48" i="11"/>
  <c r="Y48" i="11" s="1"/>
  <c r="V48" i="11"/>
  <c r="W48" i="11" s="1"/>
  <c r="T48" i="11"/>
  <c r="U48" i="11" s="1"/>
  <c r="R48" i="11"/>
  <c r="S48" i="11" s="1"/>
  <c r="P48" i="11"/>
  <c r="Q48" i="11" s="1"/>
  <c r="N48" i="11"/>
  <c r="O48" i="11" s="1"/>
  <c r="L48" i="11"/>
  <c r="M48" i="11" s="1"/>
  <c r="J48" i="11"/>
  <c r="K48" i="11" s="1"/>
  <c r="H48" i="11"/>
  <c r="I48" i="11" s="1"/>
  <c r="F48" i="11"/>
  <c r="D48" i="11"/>
  <c r="E48" i="11" s="1"/>
  <c r="Z47" i="11"/>
  <c r="X47" i="11"/>
  <c r="Y47" i="11" s="1"/>
  <c r="V47" i="11"/>
  <c r="W47" i="11" s="1"/>
  <c r="T47" i="11"/>
  <c r="U47" i="11" s="1"/>
  <c r="R47" i="11"/>
  <c r="S47" i="11" s="1"/>
  <c r="P47" i="11"/>
  <c r="Q47" i="11" s="1"/>
  <c r="N47" i="11"/>
  <c r="O47" i="11" s="1"/>
  <c r="L47" i="11"/>
  <c r="M47" i="11" s="1"/>
  <c r="J47" i="11"/>
  <c r="K47" i="11" s="1"/>
  <c r="H47" i="11"/>
  <c r="I47" i="11" s="1"/>
  <c r="F47" i="11"/>
  <c r="D47" i="11"/>
  <c r="E47" i="11" s="1"/>
  <c r="Y46" i="11"/>
  <c r="W46" i="11"/>
  <c r="U46" i="11"/>
  <c r="S46" i="11"/>
  <c r="Q46" i="11"/>
  <c r="O46" i="11"/>
  <c r="M46" i="11"/>
  <c r="K46" i="11"/>
  <c r="I46" i="11"/>
  <c r="G46" i="11"/>
  <c r="E46" i="11"/>
  <c r="Y45" i="11"/>
  <c r="W45" i="11"/>
  <c r="U45" i="11"/>
  <c r="S45" i="11"/>
  <c r="Q45" i="11"/>
  <c r="O45" i="11"/>
  <c r="M45" i="11"/>
  <c r="K45" i="11"/>
  <c r="I45" i="11"/>
  <c r="G45" i="11"/>
  <c r="E45" i="11"/>
  <c r="Y44" i="11"/>
  <c r="W44" i="11"/>
  <c r="U44" i="11"/>
  <c r="S44" i="11"/>
  <c r="Q44" i="11"/>
  <c r="O44" i="11"/>
  <c r="M44" i="11"/>
  <c r="K44" i="11"/>
  <c r="I44" i="11"/>
  <c r="E44" i="11"/>
  <c r="Z56" i="5"/>
  <c r="X56" i="5"/>
  <c r="Y56" i="5" s="1"/>
  <c r="V56" i="5"/>
  <c r="W56" i="5" s="1"/>
  <c r="T56" i="5"/>
  <c r="U56" i="5" s="1"/>
  <c r="R56" i="5"/>
  <c r="S56" i="5" s="1"/>
  <c r="P56" i="5"/>
  <c r="Q56" i="5" s="1"/>
  <c r="N56" i="5"/>
  <c r="O56" i="5" s="1"/>
  <c r="L56" i="5"/>
  <c r="M56" i="5" s="1"/>
  <c r="J56" i="5"/>
  <c r="K56" i="5" s="1"/>
  <c r="H56" i="5"/>
  <c r="I56" i="5" s="1"/>
  <c r="F56" i="5"/>
  <c r="G56" i="5" s="1"/>
  <c r="D56" i="5"/>
  <c r="E56" i="5" s="1"/>
  <c r="Z55" i="5"/>
  <c r="X55" i="5"/>
  <c r="V55" i="5"/>
  <c r="T55" i="5"/>
  <c r="R55" i="5"/>
  <c r="P55" i="5"/>
  <c r="N55" i="5"/>
  <c r="L55" i="5"/>
  <c r="J55" i="5"/>
  <c r="H55" i="5"/>
  <c r="F55" i="5"/>
  <c r="D55" i="5"/>
  <c r="E55" i="5" s="1"/>
  <c r="Z54" i="5"/>
  <c r="X54" i="5"/>
  <c r="Y54" i="5" s="1"/>
  <c r="V54" i="5"/>
  <c r="W54" i="5" s="1"/>
  <c r="T54" i="5"/>
  <c r="U54" i="5" s="1"/>
  <c r="R54" i="5"/>
  <c r="S54" i="5" s="1"/>
  <c r="P54" i="5"/>
  <c r="Q54" i="5" s="1"/>
  <c r="N54" i="5"/>
  <c r="O54" i="5" s="1"/>
  <c r="L54" i="5"/>
  <c r="M54" i="5" s="1"/>
  <c r="J54" i="5"/>
  <c r="K54" i="5" s="1"/>
  <c r="H54" i="5"/>
  <c r="I54" i="5" s="1"/>
  <c r="F54" i="5"/>
  <c r="G54" i="5" s="1"/>
  <c r="D54" i="5"/>
  <c r="E54" i="5" s="1"/>
  <c r="Z53" i="5"/>
  <c r="X53" i="5"/>
  <c r="V53" i="5"/>
  <c r="T53" i="5"/>
  <c r="R53" i="5"/>
  <c r="P53" i="5"/>
  <c r="N53" i="5"/>
  <c r="L53" i="5"/>
  <c r="J53" i="5"/>
  <c r="H53" i="5"/>
  <c r="F53" i="5"/>
  <c r="D53" i="5"/>
  <c r="Z51" i="5"/>
  <c r="X51" i="5"/>
  <c r="V51" i="5"/>
  <c r="T51" i="5"/>
  <c r="R51" i="5"/>
  <c r="P51" i="5"/>
  <c r="N51" i="5"/>
  <c r="L51" i="5"/>
  <c r="J51" i="5"/>
  <c r="H51" i="5"/>
  <c r="F51" i="5"/>
  <c r="D51" i="5"/>
  <c r="Z50" i="5"/>
  <c r="X50" i="5"/>
  <c r="V50" i="5"/>
  <c r="T50" i="5"/>
  <c r="R50" i="5"/>
  <c r="P50" i="5"/>
  <c r="N50" i="5"/>
  <c r="L50" i="5"/>
  <c r="J50" i="5"/>
  <c r="H50" i="5"/>
  <c r="F50" i="5"/>
  <c r="D50" i="5"/>
  <c r="Z49" i="5"/>
  <c r="X49" i="5"/>
  <c r="V49" i="5"/>
  <c r="T49" i="5"/>
  <c r="R49" i="5"/>
  <c r="P49" i="5"/>
  <c r="N49" i="5"/>
  <c r="L49" i="5"/>
  <c r="J49" i="5"/>
  <c r="H49" i="5"/>
  <c r="F49" i="5"/>
  <c r="D49" i="5"/>
  <c r="Z48" i="5"/>
  <c r="X48" i="5"/>
  <c r="Y48" i="5" s="1"/>
  <c r="V48" i="5"/>
  <c r="W48" i="5" s="1"/>
  <c r="T48" i="5"/>
  <c r="U48" i="5" s="1"/>
  <c r="R48" i="5"/>
  <c r="S48" i="5" s="1"/>
  <c r="P48" i="5"/>
  <c r="Q48" i="5" s="1"/>
  <c r="N48" i="5"/>
  <c r="O48" i="5" s="1"/>
  <c r="L48" i="5"/>
  <c r="M48" i="5" s="1"/>
  <c r="J48" i="5"/>
  <c r="K48" i="5" s="1"/>
  <c r="H48" i="5"/>
  <c r="I48" i="5" s="1"/>
  <c r="F48" i="5"/>
  <c r="D48" i="5"/>
  <c r="E48" i="5" s="1"/>
  <c r="Z47" i="5"/>
  <c r="X47" i="5"/>
  <c r="Y47" i="5" s="1"/>
  <c r="V47" i="5"/>
  <c r="W47" i="5" s="1"/>
  <c r="T47" i="5"/>
  <c r="U47" i="5" s="1"/>
  <c r="R47" i="5"/>
  <c r="S47" i="5" s="1"/>
  <c r="P47" i="5"/>
  <c r="Q47" i="5" s="1"/>
  <c r="N47" i="5"/>
  <c r="O47" i="5" s="1"/>
  <c r="L47" i="5"/>
  <c r="M47" i="5" s="1"/>
  <c r="J47" i="5"/>
  <c r="K47" i="5" s="1"/>
  <c r="H47" i="5"/>
  <c r="I47" i="5" s="1"/>
  <c r="F47" i="5"/>
  <c r="G47" i="5" s="1"/>
  <c r="D47" i="5"/>
  <c r="E47" i="5" s="1"/>
  <c r="Y46" i="5"/>
  <c r="W46" i="5"/>
  <c r="U46" i="5"/>
  <c r="S46" i="5"/>
  <c r="Q46" i="5"/>
  <c r="O46" i="5"/>
  <c r="M46" i="5"/>
  <c r="K46" i="5"/>
  <c r="I46" i="5"/>
  <c r="G46" i="5"/>
  <c r="E46" i="5"/>
  <c r="Y45" i="5"/>
  <c r="W45" i="5"/>
  <c r="U45" i="5"/>
  <c r="S45" i="5"/>
  <c r="Q45" i="5"/>
  <c r="O45" i="5"/>
  <c r="M45" i="5"/>
  <c r="K45" i="5"/>
  <c r="I45" i="5"/>
  <c r="G45" i="5"/>
  <c r="E45" i="5"/>
  <c r="Y44" i="5"/>
  <c r="W44" i="5"/>
  <c r="U44" i="5"/>
  <c r="S44" i="5"/>
  <c r="Q44" i="5"/>
  <c r="O44" i="5"/>
  <c r="M44" i="5"/>
  <c r="K44" i="5"/>
  <c r="I44" i="5"/>
  <c r="G44" i="5"/>
  <c r="Y56" i="14"/>
  <c r="W56" i="14"/>
  <c r="U56" i="14"/>
  <c r="S56" i="14"/>
  <c r="Q56" i="14"/>
  <c r="O56" i="14"/>
  <c r="M56" i="14"/>
  <c r="K56" i="14"/>
  <c r="I56" i="14"/>
  <c r="F56" i="14"/>
  <c r="G56" i="14" s="1"/>
  <c r="E56" i="14"/>
  <c r="F55" i="14"/>
  <c r="E55" i="14"/>
  <c r="Y54" i="14"/>
  <c r="W54" i="14"/>
  <c r="U54" i="14"/>
  <c r="S54" i="14"/>
  <c r="Q54" i="14"/>
  <c r="O54" i="14"/>
  <c r="M54" i="14"/>
  <c r="K54" i="14"/>
  <c r="I54" i="14"/>
  <c r="F54" i="14"/>
  <c r="G54" i="14" s="1"/>
  <c r="E54" i="14"/>
  <c r="F53" i="14"/>
  <c r="F51" i="14"/>
  <c r="F50" i="14"/>
  <c r="F49" i="14"/>
  <c r="Y48" i="14"/>
  <c r="W48" i="14"/>
  <c r="U48" i="14"/>
  <c r="S48" i="14"/>
  <c r="Q48" i="14"/>
  <c r="O48" i="14"/>
  <c r="M48" i="14"/>
  <c r="K48" i="14"/>
  <c r="I48" i="14"/>
  <c r="F48" i="14"/>
  <c r="G48" i="14" s="1"/>
  <c r="E48" i="14"/>
  <c r="Y47" i="14"/>
  <c r="W47" i="14"/>
  <c r="U47" i="14"/>
  <c r="S47" i="14"/>
  <c r="Q47" i="14"/>
  <c r="O47" i="14"/>
  <c r="M47" i="14"/>
  <c r="K47" i="14"/>
  <c r="I47" i="14"/>
  <c r="F47" i="14"/>
  <c r="G47" i="14" s="1"/>
  <c r="E47" i="14"/>
  <c r="Y46" i="14"/>
  <c r="W46" i="14"/>
  <c r="U46" i="14"/>
  <c r="S46" i="14"/>
  <c r="Q46" i="14"/>
  <c r="O46" i="14"/>
  <c r="M46" i="14"/>
  <c r="K46" i="14"/>
  <c r="I46" i="14"/>
  <c r="G46" i="14"/>
  <c r="E46" i="14"/>
  <c r="Y45" i="14"/>
  <c r="W45" i="14"/>
  <c r="U45" i="14"/>
  <c r="S45" i="14"/>
  <c r="Q45" i="14"/>
  <c r="O45" i="14"/>
  <c r="M45" i="14"/>
  <c r="K45" i="14"/>
  <c r="I45" i="14"/>
  <c r="G45" i="14"/>
  <c r="E45" i="14"/>
  <c r="Y44" i="14"/>
  <c r="W44" i="14"/>
  <c r="U44" i="14"/>
  <c r="S44" i="14"/>
  <c r="Q44" i="14"/>
  <c r="O44" i="14"/>
  <c r="M44" i="14"/>
  <c r="K44" i="14"/>
  <c r="I44" i="14"/>
  <c r="G44" i="14"/>
  <c r="Z56" i="7"/>
  <c r="Z55" i="7"/>
  <c r="Z54" i="7"/>
  <c r="Z53" i="7"/>
  <c r="Z51" i="7"/>
  <c r="Z50" i="7"/>
  <c r="Z49" i="7"/>
  <c r="Z47" i="7"/>
  <c r="Z46" i="7"/>
  <c r="X56" i="7"/>
  <c r="X55" i="7"/>
  <c r="X54" i="7"/>
  <c r="X53" i="7"/>
  <c r="X51" i="7"/>
  <c r="X50" i="7"/>
  <c r="X49" i="7"/>
  <c r="X47" i="7"/>
  <c r="X46" i="7"/>
  <c r="V56" i="7"/>
  <c r="V55" i="7"/>
  <c r="V54" i="7"/>
  <c r="V53" i="7"/>
  <c r="V51" i="7"/>
  <c r="V50" i="7"/>
  <c r="V49" i="7"/>
  <c r="V47" i="7"/>
  <c r="V46" i="7"/>
  <c r="T56" i="7"/>
  <c r="T55" i="7"/>
  <c r="T54" i="7"/>
  <c r="T53" i="7"/>
  <c r="T51" i="7"/>
  <c r="T50" i="7"/>
  <c r="T49" i="7"/>
  <c r="T47" i="7"/>
  <c r="T46" i="7"/>
  <c r="R56" i="7"/>
  <c r="R55" i="7"/>
  <c r="R54" i="7"/>
  <c r="R53" i="7"/>
  <c r="R51" i="7"/>
  <c r="R50" i="7"/>
  <c r="R49" i="7"/>
  <c r="R47" i="7"/>
  <c r="R46" i="7"/>
  <c r="P56" i="7"/>
  <c r="P55" i="7"/>
  <c r="P54" i="7"/>
  <c r="P53" i="7"/>
  <c r="P51" i="7"/>
  <c r="P50" i="7"/>
  <c r="P49" i="7"/>
  <c r="P47" i="7"/>
  <c r="P46" i="7"/>
  <c r="N56" i="7"/>
  <c r="N55" i="7"/>
  <c r="N54" i="7"/>
  <c r="N53" i="7"/>
  <c r="N51" i="7"/>
  <c r="N50" i="7"/>
  <c r="N49" i="7"/>
  <c r="N47" i="7"/>
  <c r="N46" i="7"/>
  <c r="L56" i="7"/>
  <c r="L55" i="7"/>
  <c r="L54" i="7"/>
  <c r="L53" i="7"/>
  <c r="L51" i="7"/>
  <c r="L50" i="7"/>
  <c r="L49" i="7"/>
  <c r="L47" i="7"/>
  <c r="L46" i="7"/>
  <c r="J56" i="7"/>
  <c r="J55" i="7"/>
  <c r="J54" i="7"/>
  <c r="J53" i="7"/>
  <c r="J51" i="7"/>
  <c r="J50" i="7"/>
  <c r="J49" i="7"/>
  <c r="J47" i="7"/>
  <c r="J46" i="7"/>
  <c r="H56" i="7"/>
  <c r="H55" i="7"/>
  <c r="H54" i="7"/>
  <c r="H53" i="7"/>
  <c r="H51" i="7"/>
  <c r="H50" i="7"/>
  <c r="H49" i="7"/>
  <c r="H47" i="7"/>
  <c r="H46" i="7"/>
  <c r="F56" i="7"/>
  <c r="F55" i="7"/>
  <c r="F54" i="7"/>
  <c r="F53" i="7"/>
  <c r="F51" i="7"/>
  <c r="F50" i="7"/>
  <c r="F49" i="7"/>
  <c r="F47" i="7"/>
  <c r="F46" i="7"/>
  <c r="D56" i="7"/>
  <c r="D55" i="7"/>
  <c r="D54" i="7"/>
  <c r="D53" i="7"/>
  <c r="D51" i="7"/>
  <c r="D50" i="7"/>
  <c r="D49" i="7"/>
  <c r="D47" i="7"/>
  <c r="D46" i="7"/>
  <c r="AB52" i="14"/>
  <c r="AB46" i="14"/>
  <c r="AB45" i="14"/>
  <c r="AB43" i="14"/>
  <c r="Z21" i="14"/>
  <c r="X21" i="14"/>
  <c r="V21" i="14"/>
  <c r="T21" i="14"/>
  <c r="R21" i="14"/>
  <c r="P21" i="14"/>
  <c r="N21" i="14"/>
  <c r="L21" i="14"/>
  <c r="J21" i="14"/>
  <c r="H21" i="14"/>
  <c r="F21" i="14"/>
  <c r="D21" i="14"/>
  <c r="AB12" i="14"/>
  <c r="AB11" i="14"/>
  <c r="AB10" i="14"/>
  <c r="AB9" i="14"/>
  <c r="AB8" i="14"/>
  <c r="AB7" i="14"/>
  <c r="AB52" i="11"/>
  <c r="AB46" i="11"/>
  <c r="AB45" i="11"/>
  <c r="AB43" i="11"/>
  <c r="Z21" i="11"/>
  <c r="X21" i="11"/>
  <c r="V21" i="11"/>
  <c r="T21" i="11"/>
  <c r="R21" i="11"/>
  <c r="P21" i="11"/>
  <c r="N21" i="11"/>
  <c r="L21" i="11"/>
  <c r="J21" i="11"/>
  <c r="H21" i="11"/>
  <c r="F21" i="11"/>
  <c r="D21" i="11"/>
  <c r="AB12" i="11"/>
  <c r="AB11" i="11"/>
  <c r="AB10" i="11"/>
  <c r="AB9" i="11"/>
  <c r="AB8" i="11"/>
  <c r="AB7" i="11"/>
  <c r="AB52" i="5"/>
  <c r="AB46" i="5"/>
  <c r="AB45" i="5"/>
  <c r="AB52" i="7"/>
  <c r="AA8" i="10"/>
  <c r="AA4" i="10"/>
  <c r="AA5" i="10"/>
  <c r="AA6" i="10"/>
  <c r="AA9" i="10"/>
  <c r="AA10" i="10"/>
  <c r="Y8" i="10"/>
  <c r="Y4" i="10"/>
  <c r="Y5" i="10"/>
  <c r="Y6" i="10"/>
  <c r="Y9" i="10"/>
  <c r="Y10" i="10"/>
  <c r="W8" i="10"/>
  <c r="W4" i="10"/>
  <c r="W5" i="10"/>
  <c r="W6" i="10"/>
  <c r="W9" i="10"/>
  <c r="W10" i="10"/>
  <c r="U8" i="10"/>
  <c r="U4" i="10"/>
  <c r="U5" i="10"/>
  <c r="U6" i="10"/>
  <c r="U9" i="10"/>
  <c r="U10" i="10"/>
  <c r="S8" i="10"/>
  <c r="S4" i="10"/>
  <c r="S5" i="10"/>
  <c r="S6" i="10"/>
  <c r="S9" i="10"/>
  <c r="S10" i="10"/>
  <c r="Q8" i="10"/>
  <c r="Q4" i="10"/>
  <c r="Q5" i="10"/>
  <c r="Q6" i="10"/>
  <c r="Q9" i="10"/>
  <c r="Q10" i="10"/>
  <c r="O8" i="10"/>
  <c r="O4" i="10"/>
  <c r="O5" i="10"/>
  <c r="O6" i="10"/>
  <c r="O9" i="10"/>
  <c r="O10" i="10"/>
  <c r="M8" i="10"/>
  <c r="M4" i="10"/>
  <c r="M5" i="10"/>
  <c r="M6" i="10"/>
  <c r="M9" i="10"/>
  <c r="M10" i="10"/>
  <c r="K8" i="10"/>
  <c r="K4" i="10"/>
  <c r="K5" i="10"/>
  <c r="K6" i="10"/>
  <c r="K9" i="10"/>
  <c r="K10" i="10"/>
  <c r="I8" i="10"/>
  <c r="I4" i="10"/>
  <c r="I5" i="10"/>
  <c r="I6" i="10"/>
  <c r="I9" i="10"/>
  <c r="I10" i="10"/>
  <c r="G8" i="10"/>
  <c r="G4" i="10"/>
  <c r="G5" i="10"/>
  <c r="G6" i="10"/>
  <c r="G9" i="10"/>
  <c r="G10" i="10"/>
  <c r="E8" i="10"/>
  <c r="E4" i="10"/>
  <c r="E5" i="10"/>
  <c r="E6" i="10"/>
  <c r="E9" i="10"/>
  <c r="E10" i="10"/>
  <c r="G7" i="10"/>
  <c r="I7" i="10"/>
  <c r="K7" i="10"/>
  <c r="M7" i="10"/>
  <c r="O7" i="10"/>
  <c r="Q7" i="10"/>
  <c r="S7" i="10"/>
  <c r="U7" i="10"/>
  <c r="W7" i="10"/>
  <c r="Y7" i="10"/>
  <c r="AA7" i="10"/>
  <c r="E7" i="10"/>
  <c r="D11" i="10"/>
  <c r="F11" i="10"/>
  <c r="H11" i="10"/>
  <c r="J11" i="10"/>
  <c r="L11" i="10"/>
  <c r="N11" i="10"/>
  <c r="P11" i="10"/>
  <c r="R11" i="10"/>
  <c r="T11" i="10"/>
  <c r="V11" i="10"/>
  <c r="X11" i="10"/>
  <c r="Z11" i="10"/>
  <c r="C11" i="10"/>
  <c r="D20" i="7"/>
  <c r="F20" i="7"/>
  <c r="H20" i="7"/>
  <c r="J20" i="7"/>
  <c r="L20" i="7"/>
  <c r="N20" i="7"/>
  <c r="P20" i="7"/>
  <c r="R20" i="7"/>
  <c r="T20" i="7"/>
  <c r="V20" i="7"/>
  <c r="X20" i="7"/>
  <c r="Z20" i="7"/>
  <c r="AB6" i="7"/>
  <c r="AB7" i="7"/>
  <c r="AB8" i="7"/>
  <c r="AB9" i="7"/>
  <c r="AB10" i="7"/>
  <c r="AB11" i="7"/>
  <c r="AB7" i="5"/>
  <c r="AB8" i="5"/>
  <c r="AB9" i="5"/>
  <c r="AB10" i="5"/>
  <c r="AB11" i="5"/>
  <c r="AB12" i="5"/>
  <c r="D21" i="5"/>
  <c r="F21" i="5"/>
  <c r="H21" i="5"/>
  <c r="J21" i="5"/>
  <c r="L21" i="5"/>
  <c r="N21" i="5"/>
  <c r="P21" i="5"/>
  <c r="R21" i="5"/>
  <c r="T21" i="5"/>
  <c r="V21" i="5"/>
  <c r="X21" i="5"/>
  <c r="Z21" i="5"/>
  <c r="AB21" i="11" l="1"/>
  <c r="AB20" i="7"/>
  <c r="AB21" i="5"/>
  <c r="AB21" i="14"/>
  <c r="AB49" i="11"/>
  <c r="AB50" i="11"/>
  <c r="AB51" i="11"/>
  <c r="AB53" i="11"/>
  <c r="AB10" i="10"/>
  <c r="AB50" i="14"/>
  <c r="AB51" i="14"/>
  <c r="AB53" i="14"/>
  <c r="AB48" i="5"/>
  <c r="AB49" i="5"/>
  <c r="AB53" i="5"/>
  <c r="AB44" i="11"/>
  <c r="AB56" i="7"/>
  <c r="AB44" i="14"/>
  <c r="G44" i="11"/>
  <c r="AB50" i="5"/>
  <c r="AB51" i="5"/>
  <c r="AB48" i="11"/>
  <c r="W11" i="10"/>
  <c r="W13" i="10" s="1"/>
  <c r="V4" i="7" s="1"/>
  <c r="AB7" i="10"/>
  <c r="G11" i="10"/>
  <c r="G13" i="10" s="1"/>
  <c r="F4" i="7" s="1"/>
  <c r="O11" i="10"/>
  <c r="O13" i="10" s="1"/>
  <c r="N4" i="7" s="1"/>
  <c r="AB8" i="10"/>
  <c r="AB9" i="10"/>
  <c r="Q11" i="10"/>
  <c r="Q14" i="10" s="1"/>
  <c r="P5" i="7" s="1"/>
  <c r="S11" i="10"/>
  <c r="S13" i="10" s="1"/>
  <c r="R4" i="7" s="1"/>
  <c r="K11" i="10"/>
  <c r="K14" i="10" s="1"/>
  <c r="J5" i="7" s="1"/>
  <c r="U11" i="10"/>
  <c r="U13" i="10" s="1"/>
  <c r="T4" i="7" s="1"/>
  <c r="AB5" i="10"/>
  <c r="AA11" i="10"/>
  <c r="AA14" i="10" s="1"/>
  <c r="Z5" i="7" s="1"/>
  <c r="AB4" i="10"/>
  <c r="AB54" i="5"/>
  <c r="AB47" i="14"/>
  <c r="AB51" i="7"/>
  <c r="AB42" i="14"/>
  <c r="E44" i="14"/>
  <c r="AB47" i="5"/>
  <c r="AB55" i="5"/>
  <c r="AB48" i="14"/>
  <c r="AB55" i="14"/>
  <c r="AB49" i="14"/>
  <c r="E44" i="5"/>
  <c r="AB55" i="11"/>
  <c r="AB46" i="7"/>
  <c r="G48" i="5"/>
  <c r="G48" i="11"/>
  <c r="AB56" i="5"/>
  <c r="AB47" i="11"/>
  <c r="Y11" i="10"/>
  <c r="E11" i="10"/>
  <c r="M11" i="10"/>
  <c r="AB54" i="11"/>
  <c r="AB56" i="11"/>
  <c r="G47" i="11"/>
  <c r="AB56" i="14"/>
  <c r="AB54" i="14"/>
  <c r="AB54" i="7"/>
  <c r="AB49" i="7"/>
  <c r="AB50" i="7"/>
  <c r="AB55" i="7"/>
  <c r="AB47" i="7"/>
  <c r="AB53" i="7"/>
  <c r="AB6" i="10"/>
  <c r="I11" i="10"/>
  <c r="AB42" i="11"/>
  <c r="AB41" i="7"/>
  <c r="O14" i="10" l="1"/>
  <c r="N5" i="7" s="1"/>
  <c r="N38" i="7" s="1"/>
  <c r="T5" i="5"/>
  <c r="N5" i="5"/>
  <c r="L27" i="5"/>
  <c r="G14" i="10"/>
  <c r="F5" i="7" s="1"/>
  <c r="F38" i="7" s="1"/>
  <c r="W14" i="10"/>
  <c r="V5" i="7" s="1"/>
  <c r="V38" i="7" s="1"/>
  <c r="V5" i="11"/>
  <c r="V5" i="5"/>
  <c r="Q13" i="10"/>
  <c r="P4" i="7" s="1"/>
  <c r="P38" i="7" s="1"/>
  <c r="S14" i="10"/>
  <c r="R5" i="7" s="1"/>
  <c r="R38" i="7" s="1"/>
  <c r="K13" i="10"/>
  <c r="J4" i="7" s="1"/>
  <c r="J38" i="7" s="1"/>
  <c r="AA13" i="10"/>
  <c r="Z4" i="7" s="1"/>
  <c r="Z38" i="7" s="1"/>
  <c r="V18" i="7"/>
  <c r="N5" i="11"/>
  <c r="P6" i="14"/>
  <c r="P20" i="14" s="1"/>
  <c r="P6" i="5"/>
  <c r="T5" i="11"/>
  <c r="T18" i="7"/>
  <c r="Z6" i="11"/>
  <c r="Z6" i="14"/>
  <c r="Z20" i="14" s="1"/>
  <c r="U14" i="10"/>
  <c r="T5" i="7" s="1"/>
  <c r="T38" i="7" s="1"/>
  <c r="T5" i="14"/>
  <c r="V5" i="14"/>
  <c r="Z19" i="7"/>
  <c r="N18" i="7"/>
  <c r="N5" i="14"/>
  <c r="Z6" i="5"/>
  <c r="M14" i="10"/>
  <c r="L5" i="7" s="1"/>
  <c r="M13" i="10"/>
  <c r="L4" i="7" s="1"/>
  <c r="F5" i="11"/>
  <c r="F18" i="7"/>
  <c r="F5" i="5"/>
  <c r="E13" i="10"/>
  <c r="D4" i="7" s="1"/>
  <c r="E14" i="10"/>
  <c r="D5" i="7" s="1"/>
  <c r="Y13" i="10"/>
  <c r="X4" i="7" s="1"/>
  <c r="Y14" i="10"/>
  <c r="X5" i="7" s="1"/>
  <c r="P19" i="7"/>
  <c r="P6" i="11"/>
  <c r="F5" i="14"/>
  <c r="R5" i="5"/>
  <c r="R5" i="14"/>
  <c r="R18" i="7"/>
  <c r="R5" i="11"/>
  <c r="J6" i="14"/>
  <c r="J20" i="14" s="1"/>
  <c r="J6" i="5"/>
  <c r="J19" i="7"/>
  <c r="J6" i="11"/>
  <c r="AB11" i="10"/>
  <c r="I14" i="10"/>
  <c r="H5" i="7" s="1"/>
  <c r="AC11" i="10"/>
  <c r="I13" i="10"/>
  <c r="H4" i="7" s="1"/>
  <c r="N6" i="5" l="1"/>
  <c r="N41" i="5" s="1"/>
  <c r="N40" i="7"/>
  <c r="N12" i="7"/>
  <c r="O44" i="7" s="1"/>
  <c r="N6" i="14"/>
  <c r="N20" i="14" s="1"/>
  <c r="N39" i="7"/>
  <c r="N19" i="7"/>
  <c r="N21" i="7" s="1"/>
  <c r="N6" i="11"/>
  <c r="N13" i="11" s="1"/>
  <c r="O29" i="11" s="1"/>
  <c r="L38" i="7"/>
  <c r="D38" i="7"/>
  <c r="H38" i="7"/>
  <c r="X38" i="7"/>
  <c r="D40" i="7"/>
  <c r="V19" i="14"/>
  <c r="F19" i="14"/>
  <c r="D39" i="7"/>
  <c r="T19" i="14"/>
  <c r="N19" i="11"/>
  <c r="N19" i="5"/>
  <c r="N40" i="5"/>
  <c r="V19" i="5"/>
  <c r="F19" i="11"/>
  <c r="N19" i="14"/>
  <c r="V19" i="11"/>
  <c r="T19" i="11"/>
  <c r="T19" i="5"/>
  <c r="P18" i="7"/>
  <c r="P21" i="7" s="1"/>
  <c r="X40" i="7"/>
  <c r="P40" i="7"/>
  <c r="J20" i="5"/>
  <c r="P20" i="5"/>
  <c r="Z20" i="5"/>
  <c r="Z20" i="11"/>
  <c r="R6" i="14"/>
  <c r="R20" i="14" s="1"/>
  <c r="R40" i="7"/>
  <c r="V6" i="14"/>
  <c r="V41" i="14" s="1"/>
  <c r="V40" i="7"/>
  <c r="J40" i="7"/>
  <c r="N20" i="5"/>
  <c r="J20" i="11"/>
  <c r="P20" i="11"/>
  <c r="H40" i="7"/>
  <c r="L40" i="7"/>
  <c r="T6" i="5"/>
  <c r="T41" i="5" s="1"/>
  <c r="T40" i="7"/>
  <c r="F40" i="7"/>
  <c r="Z40" i="7"/>
  <c r="R26" i="7"/>
  <c r="R27" i="7" s="1"/>
  <c r="R32" i="7" s="1"/>
  <c r="F26" i="7"/>
  <c r="D27" i="5"/>
  <c r="D28" i="5" s="1"/>
  <c r="N27" i="11"/>
  <c r="N28" i="11" s="1"/>
  <c r="N35" i="11" s="1"/>
  <c r="R27" i="14"/>
  <c r="R28" i="14" s="1"/>
  <c r="X27" i="5"/>
  <c r="X28" i="5" s="1"/>
  <c r="X34" i="5" s="1"/>
  <c r="Z26" i="7"/>
  <c r="Z27" i="7" s="1"/>
  <c r="Z34" i="7" s="1"/>
  <c r="J27" i="5"/>
  <c r="J28" i="5" s="1"/>
  <c r="P27" i="5"/>
  <c r="P28" i="5" s="1"/>
  <c r="P35" i="5" s="1"/>
  <c r="T27" i="11"/>
  <c r="T28" i="11" s="1"/>
  <c r="T33" i="11" s="1"/>
  <c r="J27" i="14"/>
  <c r="J28" i="14" s="1"/>
  <c r="J34" i="14" s="1"/>
  <c r="J27" i="11"/>
  <c r="J28" i="11" s="1"/>
  <c r="V27" i="14"/>
  <c r="V28" i="14" s="1"/>
  <c r="V35" i="14" s="1"/>
  <c r="P27" i="11"/>
  <c r="P28" i="11" s="1"/>
  <c r="D27" i="14"/>
  <c r="D28" i="14" s="1"/>
  <c r="Z37" i="14" s="1"/>
  <c r="Z27" i="11"/>
  <c r="Z28" i="11" s="1"/>
  <c r="P26" i="7"/>
  <c r="P27" i="7" s="1"/>
  <c r="P32" i="7" s="1"/>
  <c r="V27" i="5"/>
  <c r="V28" i="5" s="1"/>
  <c r="V35" i="5" s="1"/>
  <c r="X27" i="14"/>
  <c r="X28" i="14" s="1"/>
  <c r="X35" i="14" s="1"/>
  <c r="D26" i="7"/>
  <c r="D27" i="7" s="1"/>
  <c r="X35" i="7" s="1"/>
  <c r="L27" i="14"/>
  <c r="L28" i="14" s="1"/>
  <c r="L34" i="14" s="1"/>
  <c r="X26" i="7"/>
  <c r="X27" i="7" s="1"/>
  <c r="X34" i="7" s="1"/>
  <c r="N27" i="5"/>
  <c r="D27" i="11"/>
  <c r="D28" i="11" s="1"/>
  <c r="F31" i="11" s="1"/>
  <c r="L26" i="7"/>
  <c r="L27" i="7" s="1"/>
  <c r="L34" i="7" s="1"/>
  <c r="Z27" i="14"/>
  <c r="Z28" i="14" s="1"/>
  <c r="Z27" i="5"/>
  <c r="Z28" i="5" s="1"/>
  <c r="N26" i="7"/>
  <c r="N27" i="7" s="1"/>
  <c r="T27" i="14"/>
  <c r="R27" i="11"/>
  <c r="R28" i="11" s="1"/>
  <c r="R33" i="11" s="1"/>
  <c r="H27" i="5"/>
  <c r="H28" i="5" s="1"/>
  <c r="H33" i="5" s="1"/>
  <c r="F27" i="14"/>
  <c r="F28" i="14" s="1"/>
  <c r="F35" i="14" s="1"/>
  <c r="F27" i="5"/>
  <c r="F28" i="5" s="1"/>
  <c r="F33" i="5" s="1"/>
  <c r="H27" i="14"/>
  <c r="I27" i="14" s="1"/>
  <c r="H27" i="11"/>
  <c r="H28" i="11" s="1"/>
  <c r="H35" i="11" s="1"/>
  <c r="X27" i="11"/>
  <c r="X28" i="11" s="1"/>
  <c r="X33" i="11" s="1"/>
  <c r="T27" i="5"/>
  <c r="T28" i="5" s="1"/>
  <c r="T35" i="5" s="1"/>
  <c r="T26" i="7"/>
  <c r="R27" i="5"/>
  <c r="R28" i="5" s="1"/>
  <c r="R35" i="5" s="1"/>
  <c r="V26" i="7"/>
  <c r="V27" i="7" s="1"/>
  <c r="V32" i="7" s="1"/>
  <c r="F27" i="11"/>
  <c r="F28" i="11" s="1"/>
  <c r="V27" i="11"/>
  <c r="V28" i="11" s="1"/>
  <c r="V33" i="11" s="1"/>
  <c r="H26" i="7"/>
  <c r="H27" i="7" s="1"/>
  <c r="N27" i="14"/>
  <c r="J26" i="7"/>
  <c r="J27" i="7" s="1"/>
  <c r="J32" i="7" s="1"/>
  <c r="P27" i="14"/>
  <c r="P28" i="14" s="1"/>
  <c r="L27" i="11"/>
  <c r="L28" i="11" s="1"/>
  <c r="L34" i="11" s="1"/>
  <c r="L28" i="5"/>
  <c r="F6" i="11"/>
  <c r="F40" i="11" s="1"/>
  <c r="J18" i="7"/>
  <c r="J21" i="7" s="1"/>
  <c r="F39" i="7"/>
  <c r="F19" i="7"/>
  <c r="F21" i="7" s="1"/>
  <c r="F6" i="5"/>
  <c r="F41" i="5" s="1"/>
  <c r="F12" i="7"/>
  <c r="F6" i="14"/>
  <c r="F20" i="14" s="1"/>
  <c r="P12" i="7"/>
  <c r="T39" i="7"/>
  <c r="J12" i="7"/>
  <c r="T6" i="11"/>
  <c r="T41" i="11" s="1"/>
  <c r="J5" i="11"/>
  <c r="J39" i="7"/>
  <c r="J5" i="14"/>
  <c r="Z12" i="7"/>
  <c r="V12" i="7"/>
  <c r="J5" i="5"/>
  <c r="P5" i="14"/>
  <c r="Z5" i="11"/>
  <c r="Z5" i="14"/>
  <c r="P5" i="11"/>
  <c r="Z5" i="5"/>
  <c r="Z18" i="7"/>
  <c r="Z21" i="7" s="1"/>
  <c r="P39" i="7"/>
  <c r="P5" i="5"/>
  <c r="Z39" i="7"/>
  <c r="R19" i="7"/>
  <c r="R21" i="7" s="1"/>
  <c r="R39" i="7"/>
  <c r="R6" i="5"/>
  <c r="R41" i="5" s="1"/>
  <c r="R12" i="7"/>
  <c r="R6" i="11"/>
  <c r="R41" i="11" s="1"/>
  <c r="T6" i="14"/>
  <c r="T41" i="14" s="1"/>
  <c r="T19" i="7"/>
  <c r="T21" i="7" s="1"/>
  <c r="N13" i="5"/>
  <c r="O29" i="5" s="1"/>
  <c r="T12" i="7"/>
  <c r="F19" i="5"/>
  <c r="D12" i="7"/>
  <c r="D5" i="5"/>
  <c r="D5" i="11"/>
  <c r="D18" i="7"/>
  <c r="D5" i="14"/>
  <c r="X6" i="5"/>
  <c r="X19" i="7"/>
  <c r="X6" i="11"/>
  <c r="X6" i="14"/>
  <c r="X20" i="14" s="1"/>
  <c r="V6" i="11"/>
  <c r="V40" i="11" s="1"/>
  <c r="V6" i="5"/>
  <c r="V40" i="5" s="1"/>
  <c r="V19" i="7"/>
  <c r="V21" i="7" s="1"/>
  <c r="V39" i="7"/>
  <c r="D19" i="7"/>
  <c r="D6" i="11"/>
  <c r="D6" i="5"/>
  <c r="D6" i="14"/>
  <c r="D20" i="14" s="1"/>
  <c r="L12" i="7"/>
  <c r="L6" i="11"/>
  <c r="L19" i="7"/>
  <c r="L6" i="5"/>
  <c r="L6" i="14"/>
  <c r="X39" i="7"/>
  <c r="X5" i="14"/>
  <c r="X5" i="11"/>
  <c r="X5" i="5"/>
  <c r="X18" i="7"/>
  <c r="X12" i="7"/>
  <c r="L5" i="11"/>
  <c r="L5" i="14"/>
  <c r="L5" i="5"/>
  <c r="L18" i="7"/>
  <c r="L39" i="7"/>
  <c r="R19" i="11"/>
  <c r="H5" i="11"/>
  <c r="H39" i="7"/>
  <c r="H18" i="7"/>
  <c r="H5" i="14"/>
  <c r="H12" i="7"/>
  <c r="H5" i="5"/>
  <c r="AB4" i="7"/>
  <c r="R19" i="14"/>
  <c r="R19" i="5"/>
  <c r="H6" i="11"/>
  <c r="H19" i="7"/>
  <c r="H6" i="14"/>
  <c r="H6" i="5"/>
  <c r="AB5" i="7"/>
  <c r="O28" i="7" l="1"/>
  <c r="O50" i="7"/>
  <c r="N22" i="7"/>
  <c r="O55" i="7"/>
  <c r="O51" i="7"/>
  <c r="O42" i="7"/>
  <c r="O38" i="7"/>
  <c r="O49" i="7"/>
  <c r="O41" i="7"/>
  <c r="O40" i="7"/>
  <c r="O27" i="7"/>
  <c r="N20" i="11"/>
  <c r="N22" i="11" s="1"/>
  <c r="N23" i="11" s="1"/>
  <c r="N41" i="11"/>
  <c r="O39" i="7"/>
  <c r="O45" i="7"/>
  <c r="O53" i="7"/>
  <c r="O46" i="7"/>
  <c r="N40" i="14"/>
  <c r="N40" i="11"/>
  <c r="O40" i="11" s="1"/>
  <c r="N41" i="14"/>
  <c r="N13" i="7"/>
  <c r="N14" i="7" s="1"/>
  <c r="O54" i="7"/>
  <c r="O56" i="7"/>
  <c r="O47" i="7"/>
  <c r="O52" i="7"/>
  <c r="N22" i="14"/>
  <c r="O48" i="7"/>
  <c r="N13" i="14"/>
  <c r="O29" i="14" s="1"/>
  <c r="Y48" i="7"/>
  <c r="Y45" i="7"/>
  <c r="Y44" i="7"/>
  <c r="Y42" i="7"/>
  <c r="S48" i="7"/>
  <c r="S44" i="7"/>
  <c r="S42" i="7"/>
  <c r="S45" i="7"/>
  <c r="AA48" i="7"/>
  <c r="AA42" i="7"/>
  <c r="Q48" i="7"/>
  <c r="Q45" i="7"/>
  <c r="Q44" i="7"/>
  <c r="Q42" i="7"/>
  <c r="E45" i="7"/>
  <c r="E44" i="7"/>
  <c r="E42" i="7"/>
  <c r="W48" i="7"/>
  <c r="W44" i="7"/>
  <c r="W45" i="7"/>
  <c r="W42" i="7"/>
  <c r="I48" i="7"/>
  <c r="I45" i="7"/>
  <c r="I44" i="7"/>
  <c r="I42" i="7"/>
  <c r="U48" i="7"/>
  <c r="U45" i="7"/>
  <c r="U44" i="7"/>
  <c r="U42" i="7"/>
  <c r="M48" i="7"/>
  <c r="M44" i="7"/>
  <c r="M42" i="7"/>
  <c r="M45" i="7"/>
  <c r="K48" i="7"/>
  <c r="K44" i="7"/>
  <c r="K45" i="7"/>
  <c r="K42" i="7"/>
  <c r="G48" i="7"/>
  <c r="G42" i="7"/>
  <c r="G45" i="7"/>
  <c r="G44" i="7"/>
  <c r="E56" i="7"/>
  <c r="E52" i="7"/>
  <c r="E48" i="7"/>
  <c r="E55" i="7"/>
  <c r="E51" i="7"/>
  <c r="E47" i="7"/>
  <c r="E54" i="7"/>
  <c r="E50" i="7"/>
  <c r="E46" i="7"/>
  <c r="E53" i="7"/>
  <c r="E49" i="7"/>
  <c r="AB38" i="7"/>
  <c r="R40" i="5"/>
  <c r="T40" i="14"/>
  <c r="F22" i="14"/>
  <c r="T40" i="11"/>
  <c r="F41" i="11"/>
  <c r="N22" i="5"/>
  <c r="N23" i="5" s="1"/>
  <c r="F40" i="5"/>
  <c r="R40" i="14"/>
  <c r="H41" i="14"/>
  <c r="H40" i="14"/>
  <c r="L41" i="5"/>
  <c r="L40" i="5"/>
  <c r="X40" i="14"/>
  <c r="X41" i="14"/>
  <c r="X39" i="14"/>
  <c r="P39" i="14"/>
  <c r="H39" i="14"/>
  <c r="D39" i="14"/>
  <c r="F39" i="14"/>
  <c r="Z39" i="14"/>
  <c r="R39" i="14"/>
  <c r="J39" i="14"/>
  <c r="D41" i="14"/>
  <c r="V39" i="14"/>
  <c r="N39" i="14"/>
  <c r="T39" i="14"/>
  <c r="L39" i="14"/>
  <c r="D40" i="14"/>
  <c r="Z19" i="14"/>
  <c r="Z22" i="14" s="1"/>
  <c r="Z40" i="14"/>
  <c r="Z41" i="14"/>
  <c r="F40" i="14"/>
  <c r="H40" i="5"/>
  <c r="H41" i="5"/>
  <c r="L41" i="14"/>
  <c r="L40" i="14"/>
  <c r="X40" i="5"/>
  <c r="X41" i="5"/>
  <c r="J19" i="11"/>
  <c r="J22" i="11" s="1"/>
  <c r="J41" i="11"/>
  <c r="J40" i="11"/>
  <c r="T40" i="5"/>
  <c r="V41" i="11"/>
  <c r="F41" i="14"/>
  <c r="V40" i="14"/>
  <c r="L41" i="11"/>
  <c r="L40" i="11"/>
  <c r="X40" i="11"/>
  <c r="X41" i="11"/>
  <c r="V39" i="11"/>
  <c r="N39" i="11"/>
  <c r="F39" i="11"/>
  <c r="T39" i="11"/>
  <c r="L39" i="11"/>
  <c r="D39" i="11"/>
  <c r="X39" i="11"/>
  <c r="P39" i="11"/>
  <c r="H39" i="11"/>
  <c r="D41" i="11"/>
  <c r="Z39" i="11"/>
  <c r="R39" i="11"/>
  <c r="J39" i="11"/>
  <c r="D40" i="11"/>
  <c r="Z41" i="5"/>
  <c r="Z40" i="5"/>
  <c r="P19" i="14"/>
  <c r="P22" i="14" s="1"/>
  <c r="P40" i="14"/>
  <c r="P41" i="14"/>
  <c r="V41" i="5"/>
  <c r="R40" i="11"/>
  <c r="Z13" i="11"/>
  <c r="AA47" i="11" s="1"/>
  <c r="Z41" i="11"/>
  <c r="Z40" i="11"/>
  <c r="H40" i="11"/>
  <c r="H41" i="11"/>
  <c r="V39" i="5"/>
  <c r="N39" i="5"/>
  <c r="F39" i="5"/>
  <c r="T39" i="5"/>
  <c r="X39" i="5"/>
  <c r="P39" i="5"/>
  <c r="H39" i="5"/>
  <c r="D41" i="5"/>
  <c r="L39" i="5"/>
  <c r="D39" i="5"/>
  <c r="Z39" i="5"/>
  <c r="R39" i="5"/>
  <c r="J39" i="5"/>
  <c r="D40" i="5"/>
  <c r="P40" i="5"/>
  <c r="P41" i="5"/>
  <c r="P19" i="11"/>
  <c r="P22" i="11" s="1"/>
  <c r="P40" i="11"/>
  <c r="P41" i="11"/>
  <c r="J13" i="5"/>
  <c r="K29" i="5" s="1"/>
  <c r="J41" i="5"/>
  <c r="J40" i="5"/>
  <c r="J13" i="14"/>
  <c r="K29" i="14" s="1"/>
  <c r="J40" i="14"/>
  <c r="J41" i="14"/>
  <c r="R41" i="14"/>
  <c r="I40" i="7"/>
  <c r="E40" i="7"/>
  <c r="E41" i="7"/>
  <c r="E38" i="7"/>
  <c r="R13" i="14"/>
  <c r="S29" i="14" s="1"/>
  <c r="R22" i="14"/>
  <c r="V20" i="14"/>
  <c r="V22" i="14" s="1"/>
  <c r="T13" i="5"/>
  <c r="U29" i="5" s="1"/>
  <c r="V13" i="14"/>
  <c r="W29" i="14" s="1"/>
  <c r="D20" i="5"/>
  <c r="R20" i="5"/>
  <c r="R22" i="5" s="1"/>
  <c r="F20" i="5"/>
  <c r="F22" i="5" s="1"/>
  <c r="T20" i="5"/>
  <c r="T22" i="5" s="1"/>
  <c r="X20" i="5"/>
  <c r="R20" i="11"/>
  <c r="R22" i="11" s="1"/>
  <c r="T20" i="11"/>
  <c r="T22" i="11" s="1"/>
  <c r="F20" i="11"/>
  <c r="F22" i="11" s="1"/>
  <c r="D20" i="11"/>
  <c r="X20" i="11"/>
  <c r="L20" i="11"/>
  <c r="M39" i="7"/>
  <c r="K39" i="7"/>
  <c r="M34" i="7"/>
  <c r="G26" i="7"/>
  <c r="K32" i="7"/>
  <c r="O27" i="5"/>
  <c r="AA34" i="7"/>
  <c r="AA39" i="7"/>
  <c r="S32" i="7"/>
  <c r="S26" i="7"/>
  <c r="F27" i="7"/>
  <c r="F34" i="7" s="1"/>
  <c r="G34" i="7" s="1"/>
  <c r="N28" i="5"/>
  <c r="N35" i="5" s="1"/>
  <c r="O35" i="5" s="1"/>
  <c r="R34" i="14"/>
  <c r="AA26" i="7"/>
  <c r="Y26" i="7"/>
  <c r="T28" i="14"/>
  <c r="T35" i="14" s="1"/>
  <c r="Q26" i="7"/>
  <c r="Z35" i="11"/>
  <c r="AB27" i="14"/>
  <c r="U26" i="7"/>
  <c r="N28" i="14"/>
  <c r="N35" i="14" s="1"/>
  <c r="T27" i="7"/>
  <c r="T33" i="7" s="1"/>
  <c r="U33" i="7" s="1"/>
  <c r="Z33" i="5"/>
  <c r="H28" i="14"/>
  <c r="I28" i="14" s="1"/>
  <c r="O26" i="7"/>
  <c r="H33" i="7"/>
  <c r="I33" i="7" s="1"/>
  <c r="I52" i="7"/>
  <c r="I38" i="7"/>
  <c r="I49" i="7"/>
  <c r="I53" i="7"/>
  <c r="I51" i="7"/>
  <c r="I54" i="7"/>
  <c r="I50" i="7"/>
  <c r="I56" i="7"/>
  <c r="I55" i="7"/>
  <c r="I41" i="7"/>
  <c r="M52" i="7"/>
  <c r="M40" i="7"/>
  <c r="M28" i="7"/>
  <c r="M38" i="7"/>
  <c r="M41" i="7"/>
  <c r="M53" i="7"/>
  <c r="M46" i="7"/>
  <c r="M50" i="7"/>
  <c r="M49" i="7"/>
  <c r="M55" i="7"/>
  <c r="M51" i="7"/>
  <c r="M47" i="7"/>
  <c r="M54" i="7"/>
  <c r="M56" i="7"/>
  <c r="S39" i="7"/>
  <c r="AA40" i="7"/>
  <c r="AA52" i="7"/>
  <c r="AA28" i="7"/>
  <c r="AA38" i="7"/>
  <c r="AA49" i="7"/>
  <c r="AA47" i="7"/>
  <c r="AA50" i="7"/>
  <c r="AA46" i="7"/>
  <c r="AA53" i="7"/>
  <c r="AA55" i="7"/>
  <c r="AA51" i="7"/>
  <c r="AA41" i="7"/>
  <c r="AA56" i="7"/>
  <c r="AA54" i="7"/>
  <c r="O27" i="11"/>
  <c r="W27" i="7"/>
  <c r="AA27" i="7"/>
  <c r="S27" i="7"/>
  <c r="W40" i="7"/>
  <c r="W52" i="7"/>
  <c r="W28" i="7"/>
  <c r="W38" i="7"/>
  <c r="W53" i="7"/>
  <c r="W49" i="7"/>
  <c r="W55" i="7"/>
  <c r="W51" i="7"/>
  <c r="W54" i="7"/>
  <c r="W56" i="7"/>
  <c r="W47" i="7"/>
  <c r="W46" i="7"/>
  <c r="W41" i="7"/>
  <c r="W50" i="7"/>
  <c r="Y39" i="7"/>
  <c r="S52" i="7"/>
  <c r="S40" i="7"/>
  <c r="S28" i="7"/>
  <c r="S38" i="7"/>
  <c r="S56" i="7"/>
  <c r="S51" i="7"/>
  <c r="S47" i="7"/>
  <c r="S41" i="7"/>
  <c r="S50" i="7"/>
  <c r="S46" i="7"/>
  <c r="S49" i="7"/>
  <c r="S53" i="7"/>
  <c r="S54" i="7"/>
  <c r="S55" i="7"/>
  <c r="Q39" i="7"/>
  <c r="K52" i="7"/>
  <c r="K40" i="7"/>
  <c r="K28" i="7"/>
  <c r="K38" i="7"/>
  <c r="K55" i="7"/>
  <c r="K51" i="7"/>
  <c r="K56" i="7"/>
  <c r="K41" i="7"/>
  <c r="K53" i="7"/>
  <c r="K49" i="7"/>
  <c r="K54" i="7"/>
  <c r="K47" i="7"/>
  <c r="K50" i="7"/>
  <c r="K46" i="7"/>
  <c r="G39" i="7"/>
  <c r="K26" i="7"/>
  <c r="M26" i="7"/>
  <c r="Y52" i="7"/>
  <c r="Y40" i="7"/>
  <c r="Y28" i="7"/>
  <c r="Y38" i="7"/>
  <c r="Y55" i="7"/>
  <c r="Y54" i="7"/>
  <c r="Y50" i="7"/>
  <c r="Y56" i="7"/>
  <c r="Y41" i="7"/>
  <c r="Y46" i="7"/>
  <c r="Y47" i="7"/>
  <c r="Y49" i="7"/>
  <c r="Y53" i="7"/>
  <c r="Y51" i="7"/>
  <c r="U52" i="7"/>
  <c r="U40" i="7"/>
  <c r="U28" i="7"/>
  <c r="U38" i="7"/>
  <c r="U50" i="7"/>
  <c r="U46" i="7"/>
  <c r="U55" i="7"/>
  <c r="U49" i="7"/>
  <c r="U51" i="7"/>
  <c r="U47" i="7"/>
  <c r="U54" i="7"/>
  <c r="U41" i="7"/>
  <c r="U56" i="7"/>
  <c r="U53" i="7"/>
  <c r="Q52" i="7"/>
  <c r="Q40" i="7"/>
  <c r="Q28" i="7"/>
  <c r="Q38" i="7"/>
  <c r="Q54" i="7"/>
  <c r="Q50" i="7"/>
  <c r="Q56" i="7"/>
  <c r="Q51" i="7"/>
  <c r="Q55" i="7"/>
  <c r="Q53" i="7"/>
  <c r="Q41" i="7"/>
  <c r="Q47" i="7"/>
  <c r="Q46" i="7"/>
  <c r="Q49" i="7"/>
  <c r="W26" i="7"/>
  <c r="W39" i="7"/>
  <c r="Y34" i="7"/>
  <c r="W32" i="7"/>
  <c r="Y35" i="7"/>
  <c r="Q32" i="7"/>
  <c r="U39" i="7"/>
  <c r="G40" i="7"/>
  <c r="G52" i="7"/>
  <c r="G28" i="7"/>
  <c r="G38" i="7"/>
  <c r="G54" i="7"/>
  <c r="G56" i="7"/>
  <c r="G55" i="7"/>
  <c r="G51" i="7"/>
  <c r="G47" i="7"/>
  <c r="G49" i="7"/>
  <c r="G53" i="7"/>
  <c r="G41" i="7"/>
  <c r="G50" i="7"/>
  <c r="G46" i="7"/>
  <c r="K27" i="7"/>
  <c r="M27" i="7"/>
  <c r="Y27" i="7"/>
  <c r="Q27" i="7"/>
  <c r="O28" i="11"/>
  <c r="L30" i="5"/>
  <c r="J34" i="11"/>
  <c r="P35" i="14"/>
  <c r="P35" i="11"/>
  <c r="F13" i="11"/>
  <c r="G28" i="11" s="1"/>
  <c r="X30" i="11"/>
  <c r="R31" i="7"/>
  <c r="S31" i="7" s="1"/>
  <c r="R30" i="7"/>
  <c r="S30" i="7" s="1"/>
  <c r="N32" i="5"/>
  <c r="O32" i="5" s="1"/>
  <c r="D34" i="5"/>
  <c r="T32" i="5"/>
  <c r="Z33" i="7"/>
  <c r="AA33" i="7" s="1"/>
  <c r="Z35" i="7"/>
  <c r="AA35" i="7" s="1"/>
  <c r="L32" i="5"/>
  <c r="D30" i="7"/>
  <c r="E30" i="7" s="1"/>
  <c r="D37" i="7"/>
  <c r="E37" i="7" s="1"/>
  <c r="D36" i="5"/>
  <c r="L30" i="7"/>
  <c r="M30" i="7" s="1"/>
  <c r="L38" i="5"/>
  <c r="P31" i="7"/>
  <c r="Q31" i="7" s="1"/>
  <c r="N30" i="5"/>
  <c r="O30" i="5" s="1"/>
  <c r="T35" i="7"/>
  <c r="U35" i="7" s="1"/>
  <c r="P38" i="5"/>
  <c r="J36" i="7"/>
  <c r="K36" i="7" s="1"/>
  <c r="H31" i="5"/>
  <c r="D29" i="7"/>
  <c r="E29" i="7" s="1"/>
  <c r="F32" i="5"/>
  <c r="R31" i="5"/>
  <c r="F37" i="5"/>
  <c r="J30" i="5"/>
  <c r="P36" i="5"/>
  <c r="P31" i="5"/>
  <c r="N31" i="5"/>
  <c r="O31" i="5" s="1"/>
  <c r="V31" i="5"/>
  <c r="P30" i="7"/>
  <c r="Q30" i="7" s="1"/>
  <c r="N36" i="7"/>
  <c r="O36" i="7" s="1"/>
  <c r="R36" i="7"/>
  <c r="S36" i="7" s="1"/>
  <c r="H36" i="5"/>
  <c r="R36" i="5"/>
  <c r="V38" i="5"/>
  <c r="R38" i="5"/>
  <c r="N31" i="7"/>
  <c r="O31" i="7" s="1"/>
  <c r="D31" i="7"/>
  <c r="E31" i="7" s="1"/>
  <c r="L31" i="7"/>
  <c r="M31" i="7" s="1"/>
  <c r="X30" i="5"/>
  <c r="H38" i="5"/>
  <c r="Z36" i="7"/>
  <c r="AA36" i="7" s="1"/>
  <c r="J31" i="5"/>
  <c r="P32" i="5"/>
  <c r="X31" i="5"/>
  <c r="V36" i="5"/>
  <c r="H30" i="7"/>
  <c r="I30" i="7" s="1"/>
  <c r="L35" i="7"/>
  <c r="M35" i="7" s="1"/>
  <c r="D30" i="5"/>
  <c r="R35" i="11"/>
  <c r="T36" i="5"/>
  <c r="F38" i="5"/>
  <c r="T30" i="5"/>
  <c r="R30" i="5"/>
  <c r="D38" i="5"/>
  <c r="T31" i="7"/>
  <c r="U31" i="7" s="1"/>
  <c r="P37" i="7"/>
  <c r="Q37" i="7" s="1"/>
  <c r="T36" i="7"/>
  <c r="U36" i="7" s="1"/>
  <c r="X37" i="5"/>
  <c r="J36" i="5"/>
  <c r="X32" i="5"/>
  <c r="J38" i="5"/>
  <c r="D34" i="7"/>
  <c r="E34" i="7" s="1"/>
  <c r="V37" i="7"/>
  <c r="W37" i="7" s="1"/>
  <c r="V36" i="7"/>
  <c r="W36" i="7" s="1"/>
  <c r="Z36" i="5"/>
  <c r="D35" i="5"/>
  <c r="V35" i="7"/>
  <c r="W35" i="7" s="1"/>
  <c r="P37" i="5"/>
  <c r="T37" i="5"/>
  <c r="V30" i="5"/>
  <c r="L37" i="7"/>
  <c r="M37" i="7" s="1"/>
  <c r="T29" i="7"/>
  <c r="U29" i="7" s="1"/>
  <c r="T30" i="7"/>
  <c r="U30" i="7" s="1"/>
  <c r="H37" i="7"/>
  <c r="I37" i="7" s="1"/>
  <c r="Z37" i="7"/>
  <c r="AA37" i="7" s="1"/>
  <c r="D37" i="5"/>
  <c r="Z32" i="7"/>
  <c r="AA32" i="7" s="1"/>
  <c r="Z38" i="5"/>
  <c r="J32" i="5"/>
  <c r="L31" i="5"/>
  <c r="N30" i="7"/>
  <c r="O30" i="7" s="1"/>
  <c r="J29" i="7"/>
  <c r="K29" i="7" s="1"/>
  <c r="F30" i="7"/>
  <c r="G30" i="7" s="1"/>
  <c r="H36" i="7"/>
  <c r="I36" i="7" s="1"/>
  <c r="R32" i="5"/>
  <c r="X36" i="5"/>
  <c r="Z30" i="5"/>
  <c r="V30" i="7"/>
  <c r="W30" i="7" s="1"/>
  <c r="X36" i="7"/>
  <c r="Y36" i="7" s="1"/>
  <c r="F35" i="7"/>
  <c r="G35" i="7" s="1"/>
  <c r="H30" i="5"/>
  <c r="D32" i="5"/>
  <c r="N37" i="7"/>
  <c r="O37" i="7" s="1"/>
  <c r="X30" i="7"/>
  <c r="Y30" i="7" s="1"/>
  <c r="V32" i="5"/>
  <c r="D33" i="5"/>
  <c r="N38" i="5"/>
  <c r="O38" i="5" s="1"/>
  <c r="X31" i="7"/>
  <c r="Y31" i="7" s="1"/>
  <c r="D31" i="5"/>
  <c r="D32" i="7"/>
  <c r="E32" i="7" s="1"/>
  <c r="H31" i="7"/>
  <c r="I31" i="7" s="1"/>
  <c r="T37" i="7"/>
  <c r="U37" i="7" s="1"/>
  <c r="X29" i="7"/>
  <c r="Y29" i="7" s="1"/>
  <c r="Z31" i="7"/>
  <c r="AA31" i="7" s="1"/>
  <c r="P30" i="5"/>
  <c r="J30" i="7"/>
  <c r="K30" i="7" s="1"/>
  <c r="J37" i="5"/>
  <c r="J37" i="7"/>
  <c r="K37" i="7" s="1"/>
  <c r="Z30" i="7"/>
  <c r="AA30" i="7" s="1"/>
  <c r="R34" i="11"/>
  <c r="T13" i="11"/>
  <c r="T33" i="5"/>
  <c r="F35" i="5"/>
  <c r="R35" i="7"/>
  <c r="S35" i="7" s="1"/>
  <c r="T32" i="11"/>
  <c r="D32" i="11"/>
  <c r="F32" i="11"/>
  <c r="P35" i="7"/>
  <c r="Q35" i="7" s="1"/>
  <c r="L35" i="14"/>
  <c r="X35" i="11"/>
  <c r="J30" i="14"/>
  <c r="T30" i="14"/>
  <c r="N14" i="5"/>
  <c r="N15" i="5" s="1"/>
  <c r="F13" i="7"/>
  <c r="F14" i="7" s="1"/>
  <c r="T37" i="11"/>
  <c r="H36" i="11"/>
  <c r="Z33" i="11"/>
  <c r="J31" i="11"/>
  <c r="F31" i="5"/>
  <c r="L36" i="5"/>
  <c r="H37" i="5"/>
  <c r="Z32" i="5"/>
  <c r="H29" i="7"/>
  <c r="I29" i="7" s="1"/>
  <c r="V31" i="7"/>
  <c r="W31" i="7" s="1"/>
  <c r="J35" i="7"/>
  <c r="K35" i="7" s="1"/>
  <c r="R37" i="7"/>
  <c r="S37" i="7" s="1"/>
  <c r="L29" i="7"/>
  <c r="M29" i="7" s="1"/>
  <c r="V37" i="5"/>
  <c r="N36" i="5"/>
  <c r="O36" i="5" s="1"/>
  <c r="L37" i="5"/>
  <c r="T31" i="5"/>
  <c r="H32" i="5"/>
  <c r="F37" i="7"/>
  <c r="G37" i="7" s="1"/>
  <c r="H35" i="7"/>
  <c r="I35" i="7" s="1"/>
  <c r="Z29" i="7"/>
  <c r="AA29" i="7" s="1"/>
  <c r="D33" i="7"/>
  <c r="E33" i="7" s="1"/>
  <c r="F31" i="7"/>
  <c r="G31" i="7" s="1"/>
  <c r="X38" i="5"/>
  <c r="R37" i="5"/>
  <c r="D35" i="7"/>
  <c r="E35" i="7" s="1"/>
  <c r="N29" i="7"/>
  <c r="O29" i="7" s="1"/>
  <c r="L36" i="7"/>
  <c r="M36" i="7" s="1"/>
  <c r="T38" i="5"/>
  <c r="Z31" i="5"/>
  <c r="D30" i="11"/>
  <c r="F30" i="5"/>
  <c r="Z37" i="5"/>
  <c r="P29" i="7"/>
  <c r="Q29" i="7" s="1"/>
  <c r="F29" i="7"/>
  <c r="G29" i="7" s="1"/>
  <c r="F36" i="5"/>
  <c r="X37" i="7"/>
  <c r="Y37" i="7" s="1"/>
  <c r="N37" i="5"/>
  <c r="O37" i="5" s="1"/>
  <c r="J31" i="7"/>
  <c r="K31" i="7" s="1"/>
  <c r="F34" i="5"/>
  <c r="F36" i="7"/>
  <c r="G36" i="7" s="1"/>
  <c r="L33" i="14"/>
  <c r="E26" i="7"/>
  <c r="V29" i="7"/>
  <c r="W29" i="7" s="1"/>
  <c r="P36" i="7"/>
  <c r="Q36" i="7" s="1"/>
  <c r="P13" i="7"/>
  <c r="P14" i="7" s="1"/>
  <c r="F13" i="5"/>
  <c r="G28" i="5" s="1"/>
  <c r="F13" i="14"/>
  <c r="F22" i="7"/>
  <c r="T13" i="14"/>
  <c r="J13" i="7"/>
  <c r="J14" i="7" s="1"/>
  <c r="J13" i="11"/>
  <c r="K28" i="11" s="1"/>
  <c r="R13" i="5"/>
  <c r="J22" i="7"/>
  <c r="Z13" i="5"/>
  <c r="AA51" i="5" s="1"/>
  <c r="P22" i="7"/>
  <c r="Z19" i="5"/>
  <c r="Z22" i="5" s="1"/>
  <c r="P13" i="14"/>
  <c r="Q28" i="14" s="1"/>
  <c r="J19" i="5"/>
  <c r="J22" i="5" s="1"/>
  <c r="Z19" i="11"/>
  <c r="Z22" i="11" s="1"/>
  <c r="V22" i="7"/>
  <c r="V13" i="7"/>
  <c r="V14" i="7" s="1"/>
  <c r="J19" i="14"/>
  <c r="J22" i="14" s="1"/>
  <c r="Z22" i="7"/>
  <c r="P13" i="11"/>
  <c r="Q28" i="11" s="1"/>
  <c r="Z13" i="14"/>
  <c r="Z13" i="7"/>
  <c r="P19" i="5"/>
  <c r="P22" i="5" s="1"/>
  <c r="P13" i="5"/>
  <c r="R13" i="7"/>
  <c r="R14" i="7" s="1"/>
  <c r="R22" i="7"/>
  <c r="O40" i="5"/>
  <c r="R13" i="11"/>
  <c r="T20" i="14"/>
  <c r="T22" i="14" s="1"/>
  <c r="T13" i="7"/>
  <c r="T14" i="7" s="1"/>
  <c r="T22" i="7"/>
  <c r="N14" i="11"/>
  <c r="N15" i="11" s="1"/>
  <c r="O35" i="11"/>
  <c r="L21" i="7"/>
  <c r="L22" i="7" s="1"/>
  <c r="X21" i="7"/>
  <c r="X22" i="7" s="1"/>
  <c r="E39" i="7"/>
  <c r="J38" i="14"/>
  <c r="Z35" i="5"/>
  <c r="Z34" i="5"/>
  <c r="R31" i="14"/>
  <c r="V36" i="14"/>
  <c r="L33" i="7"/>
  <c r="M33" i="7" s="1"/>
  <c r="P38" i="14"/>
  <c r="P33" i="5"/>
  <c r="P34" i="5"/>
  <c r="N34" i="7"/>
  <c r="O34" i="7" s="1"/>
  <c r="F33" i="11"/>
  <c r="N33" i="7"/>
  <c r="O33" i="7" s="1"/>
  <c r="F33" i="14"/>
  <c r="P32" i="14"/>
  <c r="J38" i="11"/>
  <c r="Z38" i="11"/>
  <c r="N36" i="11"/>
  <c r="O36" i="11" s="1"/>
  <c r="Z37" i="11"/>
  <c r="L33" i="11"/>
  <c r="Z31" i="14"/>
  <c r="N37" i="14"/>
  <c r="F37" i="14"/>
  <c r="D32" i="14"/>
  <c r="P36" i="11"/>
  <c r="J36" i="11"/>
  <c r="P34" i="11"/>
  <c r="N38" i="11"/>
  <c r="O38" i="11" s="1"/>
  <c r="X32" i="7"/>
  <c r="Y32" i="7" s="1"/>
  <c r="I26" i="7"/>
  <c r="X34" i="14"/>
  <c r="L30" i="14"/>
  <c r="Z32" i="14"/>
  <c r="D31" i="14"/>
  <c r="R34" i="5"/>
  <c r="V31" i="14"/>
  <c r="V38" i="14"/>
  <c r="D35" i="14"/>
  <c r="F38" i="14"/>
  <c r="D34" i="14"/>
  <c r="L31" i="14"/>
  <c r="H30" i="14"/>
  <c r="L35" i="11"/>
  <c r="P34" i="7"/>
  <c r="Q34" i="7" s="1"/>
  <c r="T34" i="5"/>
  <c r="J35" i="11"/>
  <c r="H34" i="7"/>
  <c r="I34" i="7" s="1"/>
  <c r="Z33" i="14"/>
  <c r="T32" i="14"/>
  <c r="J31" i="14"/>
  <c r="J36" i="14"/>
  <c r="L32" i="14"/>
  <c r="H32" i="14"/>
  <c r="P30" i="14"/>
  <c r="T38" i="14"/>
  <c r="X37" i="14"/>
  <c r="P36" i="14"/>
  <c r="R36" i="14"/>
  <c r="H37" i="14"/>
  <c r="P37" i="14"/>
  <c r="X30" i="14"/>
  <c r="H36" i="14"/>
  <c r="L32" i="7"/>
  <c r="M32" i="7" s="1"/>
  <c r="V34" i="7"/>
  <c r="W34" i="7" s="1"/>
  <c r="Z38" i="14"/>
  <c r="F32" i="14"/>
  <c r="Z30" i="14"/>
  <c r="D38" i="14"/>
  <c r="F30" i="14"/>
  <c r="P31" i="14"/>
  <c r="L38" i="14"/>
  <c r="X35" i="5"/>
  <c r="H32" i="7"/>
  <c r="I32" i="7" s="1"/>
  <c r="V33" i="7"/>
  <c r="W33" i="7" s="1"/>
  <c r="P33" i="14"/>
  <c r="J37" i="14"/>
  <c r="R37" i="14"/>
  <c r="Z36" i="14"/>
  <c r="T31" i="14"/>
  <c r="R38" i="14"/>
  <c r="J32" i="14"/>
  <c r="D37" i="14"/>
  <c r="X32" i="14"/>
  <c r="D30" i="14"/>
  <c r="H38" i="14"/>
  <c r="N30" i="14"/>
  <c r="V30" i="14"/>
  <c r="R32" i="14"/>
  <c r="R30" i="14"/>
  <c r="X33" i="5"/>
  <c r="N33" i="11"/>
  <c r="O33" i="11" s="1"/>
  <c r="H34" i="5"/>
  <c r="P34" i="14"/>
  <c r="P33" i="7"/>
  <c r="Q33" i="7" s="1"/>
  <c r="V33" i="14"/>
  <c r="H35" i="5"/>
  <c r="N37" i="11"/>
  <c r="O37" i="11" s="1"/>
  <c r="V38" i="11"/>
  <c r="V32" i="11"/>
  <c r="Z30" i="11"/>
  <c r="Z36" i="11"/>
  <c r="L31" i="11"/>
  <c r="D36" i="11"/>
  <c r="X32" i="11"/>
  <c r="P31" i="11"/>
  <c r="N32" i="7"/>
  <c r="O32" i="7" s="1"/>
  <c r="X34" i="11"/>
  <c r="R33" i="14"/>
  <c r="J33" i="14"/>
  <c r="V34" i="14"/>
  <c r="V30" i="11"/>
  <c r="L37" i="11"/>
  <c r="D34" i="11"/>
  <c r="H38" i="11"/>
  <c r="Z32" i="11"/>
  <c r="D33" i="11"/>
  <c r="P30" i="11"/>
  <c r="R35" i="14"/>
  <c r="H31" i="14"/>
  <c r="D36" i="14"/>
  <c r="V37" i="14"/>
  <c r="V32" i="14"/>
  <c r="N31" i="14"/>
  <c r="T37" i="14"/>
  <c r="T36" i="14"/>
  <c r="N38" i="14"/>
  <c r="N36" i="14"/>
  <c r="L36" i="14"/>
  <c r="F31" i="14"/>
  <c r="X31" i="14"/>
  <c r="N32" i="14"/>
  <c r="X38" i="14"/>
  <c r="X36" i="14"/>
  <c r="D33" i="14"/>
  <c r="L37" i="14"/>
  <c r="F36" i="14"/>
  <c r="V34" i="5"/>
  <c r="V33" i="5"/>
  <c r="J35" i="5"/>
  <c r="J33" i="5"/>
  <c r="D31" i="11"/>
  <c r="V31" i="11"/>
  <c r="V36" i="11"/>
  <c r="H31" i="11"/>
  <c r="F37" i="11"/>
  <c r="N30" i="11"/>
  <c r="O30" i="11" s="1"/>
  <c r="H37" i="11"/>
  <c r="T38" i="11"/>
  <c r="Z31" i="11"/>
  <c r="J32" i="11"/>
  <c r="T31" i="11"/>
  <c r="X36" i="11"/>
  <c r="L36" i="11"/>
  <c r="H32" i="11"/>
  <c r="D35" i="11"/>
  <c r="F38" i="11"/>
  <c r="H30" i="11"/>
  <c r="N31" i="11"/>
  <c r="O31" i="11" s="1"/>
  <c r="J37" i="11"/>
  <c r="T30" i="11"/>
  <c r="T36" i="11"/>
  <c r="P33" i="11"/>
  <c r="N34" i="11"/>
  <c r="O34" i="11" s="1"/>
  <c r="Z34" i="11"/>
  <c r="X33" i="14"/>
  <c r="F34" i="14"/>
  <c r="J34" i="5"/>
  <c r="N35" i="7"/>
  <c r="O35" i="7" s="1"/>
  <c r="R29" i="7"/>
  <c r="S29" i="7" s="1"/>
  <c r="D36" i="7"/>
  <c r="E36" i="7" s="1"/>
  <c r="V34" i="11"/>
  <c r="V35" i="11"/>
  <c r="H34" i="11"/>
  <c r="H33" i="11"/>
  <c r="N32" i="11"/>
  <c r="O32" i="11" s="1"/>
  <c r="R32" i="11"/>
  <c r="R33" i="5"/>
  <c r="P32" i="11"/>
  <c r="J30" i="11"/>
  <c r="R30" i="11"/>
  <c r="F30" i="11"/>
  <c r="X31" i="11"/>
  <c r="R38" i="11"/>
  <c r="P38" i="11"/>
  <c r="L30" i="11"/>
  <c r="R31" i="11"/>
  <c r="X37" i="11"/>
  <c r="L38" i="11"/>
  <c r="X38" i="11"/>
  <c r="D38" i="11"/>
  <c r="R36" i="11"/>
  <c r="D37" i="11"/>
  <c r="V37" i="11"/>
  <c r="L32" i="11"/>
  <c r="P37" i="11"/>
  <c r="R37" i="11"/>
  <c r="X33" i="7"/>
  <c r="Y33" i="7" s="1"/>
  <c r="F36" i="11"/>
  <c r="J34" i="7"/>
  <c r="K34" i="7" s="1"/>
  <c r="Z34" i="14"/>
  <c r="J35" i="14"/>
  <c r="R33" i="7"/>
  <c r="S33" i="7" s="1"/>
  <c r="J33" i="11"/>
  <c r="Z35" i="14"/>
  <c r="T35" i="11"/>
  <c r="T34" i="11"/>
  <c r="L34" i="5"/>
  <c r="L35" i="5"/>
  <c r="J33" i="7"/>
  <c r="K33" i="7" s="1"/>
  <c r="R34" i="7"/>
  <c r="S34" i="7" s="1"/>
  <c r="L33" i="5"/>
  <c r="F35" i="11"/>
  <c r="F34" i="11"/>
  <c r="D19" i="11"/>
  <c r="D13" i="11"/>
  <c r="E28" i="11" s="1"/>
  <c r="L19" i="14"/>
  <c r="L13" i="14"/>
  <c r="X13" i="7"/>
  <c r="X14" i="7" s="1"/>
  <c r="L20" i="14"/>
  <c r="L13" i="7"/>
  <c r="L14" i="7" s="1"/>
  <c r="V20" i="5"/>
  <c r="V22" i="5" s="1"/>
  <c r="V13" i="5"/>
  <c r="L19" i="11"/>
  <c r="L13" i="11"/>
  <c r="X19" i="14"/>
  <c r="X22" i="14" s="1"/>
  <c r="X13" i="14"/>
  <c r="Y28" i="14" s="1"/>
  <c r="V20" i="11"/>
  <c r="V22" i="11" s="1"/>
  <c r="V13" i="11"/>
  <c r="W28" i="11" s="1"/>
  <c r="D19" i="5"/>
  <c r="D13" i="5"/>
  <c r="E28" i="5" s="1"/>
  <c r="X19" i="5"/>
  <c r="X13" i="5"/>
  <c r="D19" i="14"/>
  <c r="D22" i="14" s="1"/>
  <c r="D13" i="14"/>
  <c r="E28" i="14" s="1"/>
  <c r="E28" i="7"/>
  <c r="D13" i="7"/>
  <c r="D14" i="7" s="1"/>
  <c r="E27" i="7"/>
  <c r="L13" i="5"/>
  <c r="L20" i="5"/>
  <c r="AB19" i="7"/>
  <c r="L19" i="5"/>
  <c r="X19" i="11"/>
  <c r="X13" i="11"/>
  <c r="Y28" i="11" s="1"/>
  <c r="D21" i="7"/>
  <c r="D22" i="7" s="1"/>
  <c r="I28" i="7"/>
  <c r="I47" i="7"/>
  <c r="I46" i="7"/>
  <c r="I27" i="7"/>
  <c r="H13" i="7"/>
  <c r="H14" i="7" s="1"/>
  <c r="H19" i="14"/>
  <c r="H13" i="14"/>
  <c r="AB5" i="14"/>
  <c r="H20" i="5"/>
  <c r="AB6" i="5"/>
  <c r="H20" i="11"/>
  <c r="AB6" i="11"/>
  <c r="H13" i="5"/>
  <c r="I28" i="5" s="1"/>
  <c r="H19" i="5"/>
  <c r="AB5" i="5"/>
  <c r="H21" i="7"/>
  <c r="AB18" i="7"/>
  <c r="H20" i="14"/>
  <c r="AB6" i="14"/>
  <c r="H19" i="11"/>
  <c r="H13" i="11"/>
  <c r="AB5" i="11"/>
  <c r="AB12" i="7"/>
  <c r="AC47" i="7" s="1"/>
  <c r="I39" i="7"/>
  <c r="AB39" i="7"/>
  <c r="O38" i="14" l="1"/>
  <c r="O30" i="14"/>
  <c r="O37" i="14"/>
  <c r="N14" i="14"/>
  <c r="N15" i="14" s="1"/>
  <c r="N23" i="14"/>
  <c r="O40" i="14"/>
  <c r="O35" i="14"/>
  <c r="O32" i="14"/>
  <c r="O36" i="14"/>
  <c r="O31" i="14"/>
  <c r="O27" i="14"/>
  <c r="G27" i="7"/>
  <c r="Z14" i="7"/>
  <c r="AA43" i="7"/>
  <c r="AA45" i="7"/>
  <c r="AA44" i="7"/>
  <c r="K31" i="14"/>
  <c r="K38" i="14"/>
  <c r="AA45" i="11"/>
  <c r="J14" i="14"/>
  <c r="J15" i="14" s="1"/>
  <c r="K27" i="14"/>
  <c r="K30" i="14"/>
  <c r="K37" i="14"/>
  <c r="K36" i="14"/>
  <c r="K40" i="14"/>
  <c r="AA49" i="11"/>
  <c r="AA34" i="11"/>
  <c r="K33" i="5"/>
  <c r="Z14" i="11"/>
  <c r="Z15" i="11" s="1"/>
  <c r="K34" i="14"/>
  <c r="K35" i="14"/>
  <c r="K28" i="14"/>
  <c r="K32" i="14"/>
  <c r="AA52" i="11"/>
  <c r="J23" i="14"/>
  <c r="AA55" i="11"/>
  <c r="K36" i="5"/>
  <c r="AA41" i="11"/>
  <c r="J14" i="5"/>
  <c r="J15" i="5" s="1"/>
  <c r="K34" i="5"/>
  <c r="K35" i="5"/>
  <c r="AA38" i="11"/>
  <c r="AA28" i="11"/>
  <c r="AA27" i="11"/>
  <c r="AA50" i="11"/>
  <c r="AA53" i="11"/>
  <c r="J23" i="5"/>
  <c r="K40" i="5"/>
  <c r="AA33" i="11"/>
  <c r="K32" i="5"/>
  <c r="K30" i="5"/>
  <c r="AB39" i="11"/>
  <c r="AB41" i="14"/>
  <c r="AA31" i="11"/>
  <c r="AA32" i="11"/>
  <c r="AA36" i="11"/>
  <c r="AA37" i="11"/>
  <c r="AA48" i="11"/>
  <c r="AA44" i="11"/>
  <c r="AA56" i="11"/>
  <c r="AA54" i="11"/>
  <c r="AA42" i="11"/>
  <c r="AA43" i="11"/>
  <c r="AA40" i="11"/>
  <c r="K31" i="5"/>
  <c r="K27" i="5"/>
  <c r="AA35" i="11"/>
  <c r="AB39" i="14"/>
  <c r="AA30" i="11"/>
  <c r="AA51" i="11"/>
  <c r="AA46" i="11"/>
  <c r="Z23" i="11"/>
  <c r="K37" i="5"/>
  <c r="K38" i="5"/>
  <c r="S28" i="14"/>
  <c r="S27" i="14"/>
  <c r="K28" i="5"/>
  <c r="S34" i="14"/>
  <c r="AB39" i="5"/>
  <c r="O28" i="5"/>
  <c r="S33" i="14"/>
  <c r="S37" i="14"/>
  <c r="S35" i="14"/>
  <c r="S36" i="14"/>
  <c r="S40" i="14"/>
  <c r="D22" i="5"/>
  <c r="D23" i="5" s="1"/>
  <c r="S32" i="14"/>
  <c r="S38" i="14"/>
  <c r="AC38" i="7"/>
  <c r="R14" i="14"/>
  <c r="R15" i="14" s="1"/>
  <c r="R23" i="14"/>
  <c r="S31" i="14"/>
  <c r="V23" i="14"/>
  <c r="W32" i="14"/>
  <c r="W30" i="14"/>
  <c r="W31" i="14"/>
  <c r="W36" i="14"/>
  <c r="U33" i="5"/>
  <c r="U36" i="5"/>
  <c r="W34" i="14"/>
  <c r="W38" i="14"/>
  <c r="V14" i="14"/>
  <c r="V15" i="14" s="1"/>
  <c r="U37" i="5"/>
  <c r="U32" i="5"/>
  <c r="U28" i="5"/>
  <c r="T23" i="5"/>
  <c r="U40" i="5"/>
  <c r="W40" i="14"/>
  <c r="W37" i="14"/>
  <c r="W33" i="14"/>
  <c r="U34" i="5"/>
  <c r="W35" i="14"/>
  <c r="U30" i="5"/>
  <c r="U27" i="5"/>
  <c r="W27" i="14"/>
  <c r="T14" i="5"/>
  <c r="T15" i="5" s="1"/>
  <c r="U35" i="5"/>
  <c r="X22" i="11"/>
  <c r="X23" i="11" s="1"/>
  <c r="X22" i="5"/>
  <c r="X23" i="5" s="1"/>
  <c r="U38" i="5"/>
  <c r="U31" i="5"/>
  <c r="W28" i="14"/>
  <c r="AB41" i="11"/>
  <c r="D22" i="11"/>
  <c r="D23" i="11" s="1"/>
  <c r="L22" i="11"/>
  <c r="L23" i="11" s="1"/>
  <c r="AB41" i="5"/>
  <c r="AB28" i="7"/>
  <c r="F33" i="7"/>
  <c r="G33" i="7" s="1"/>
  <c r="F32" i="7"/>
  <c r="G32" i="7" s="1"/>
  <c r="N34" i="5"/>
  <c r="O34" i="5" s="1"/>
  <c r="N33" i="5"/>
  <c r="O33" i="5" s="1"/>
  <c r="H33" i="14"/>
  <c r="I33" i="14" s="1"/>
  <c r="T33" i="14"/>
  <c r="U33" i="14" s="1"/>
  <c r="T32" i="7"/>
  <c r="U32" i="7" s="1"/>
  <c r="T34" i="14"/>
  <c r="U34" i="14" s="1"/>
  <c r="O28" i="14"/>
  <c r="N33" i="14"/>
  <c r="O33" i="14" s="1"/>
  <c r="H35" i="14"/>
  <c r="I35" i="14" s="1"/>
  <c r="H34" i="14"/>
  <c r="AB28" i="14"/>
  <c r="T34" i="7"/>
  <c r="U34" i="7" s="1"/>
  <c r="U27" i="7"/>
  <c r="N34" i="14"/>
  <c r="O34" i="14" s="1"/>
  <c r="AC37" i="7"/>
  <c r="AC41" i="7"/>
  <c r="AC51" i="7"/>
  <c r="AC43" i="7"/>
  <c r="AC44" i="7"/>
  <c r="AC46" i="7"/>
  <c r="AC55" i="7"/>
  <c r="AC53" i="7"/>
  <c r="AC48" i="7"/>
  <c r="AC54" i="7"/>
  <c r="AC50" i="7"/>
  <c r="AC45" i="7"/>
  <c r="AC42" i="7"/>
  <c r="AC49" i="7"/>
  <c r="AC52" i="7"/>
  <c r="AC40" i="7"/>
  <c r="AB40" i="7"/>
  <c r="AC39" i="7" s="1"/>
  <c r="M29" i="11"/>
  <c r="M27" i="11"/>
  <c r="M29" i="14"/>
  <c r="M27" i="14"/>
  <c r="G29" i="14"/>
  <c r="G27" i="14"/>
  <c r="W29" i="5"/>
  <c r="W27" i="5"/>
  <c r="Q29" i="11"/>
  <c r="Q27" i="11"/>
  <c r="S29" i="5"/>
  <c r="S27" i="5"/>
  <c r="U29" i="14"/>
  <c r="U27" i="14"/>
  <c r="U29" i="11"/>
  <c r="U27" i="11"/>
  <c r="G28" i="14"/>
  <c r="W28" i="5"/>
  <c r="M28" i="14"/>
  <c r="I29" i="11"/>
  <c r="I27" i="11"/>
  <c r="G29" i="5"/>
  <c r="G27" i="5"/>
  <c r="E29" i="14"/>
  <c r="E27" i="14"/>
  <c r="Y29" i="5"/>
  <c r="Y27" i="5"/>
  <c r="E29" i="5"/>
  <c r="E27" i="5"/>
  <c r="W29" i="11"/>
  <c r="W27" i="11"/>
  <c r="Q29" i="5"/>
  <c r="Q27" i="5"/>
  <c r="Q29" i="14"/>
  <c r="Q27" i="14"/>
  <c r="I28" i="11"/>
  <c r="Q28" i="5"/>
  <c r="U28" i="14"/>
  <c r="S28" i="5"/>
  <c r="M29" i="5"/>
  <c r="M27" i="5"/>
  <c r="Y29" i="14"/>
  <c r="Y27" i="14"/>
  <c r="S29" i="11"/>
  <c r="S27" i="11"/>
  <c r="I29" i="5"/>
  <c r="I27" i="5"/>
  <c r="Y29" i="11"/>
  <c r="Y27" i="11"/>
  <c r="E29" i="11"/>
  <c r="E27" i="11"/>
  <c r="K29" i="11"/>
  <c r="K27" i="11"/>
  <c r="G29" i="11"/>
  <c r="G27" i="11"/>
  <c r="S28" i="11"/>
  <c r="Y28" i="5"/>
  <c r="M28" i="11"/>
  <c r="U28" i="11"/>
  <c r="M28" i="5"/>
  <c r="AB26" i="7"/>
  <c r="AC25" i="7" s="1"/>
  <c r="G32" i="11"/>
  <c r="G30" i="11"/>
  <c r="G37" i="11"/>
  <c r="G35" i="11"/>
  <c r="G36" i="11"/>
  <c r="G33" i="11"/>
  <c r="F23" i="11"/>
  <c r="G40" i="11"/>
  <c r="G34" i="11"/>
  <c r="G38" i="11"/>
  <c r="G31" i="11"/>
  <c r="F14" i="11"/>
  <c r="F15" i="11" s="1"/>
  <c r="U34" i="11"/>
  <c r="U36" i="11"/>
  <c r="T23" i="11"/>
  <c r="U31" i="11"/>
  <c r="U32" i="11"/>
  <c r="D26" i="5"/>
  <c r="E26" i="5" s="1"/>
  <c r="T14" i="11"/>
  <c r="T15" i="11" s="1"/>
  <c r="U33" i="11"/>
  <c r="U35" i="11"/>
  <c r="U30" i="11"/>
  <c r="U38" i="11"/>
  <c r="U40" i="11"/>
  <c r="U37" i="11"/>
  <c r="V26" i="5"/>
  <c r="W26" i="5" s="1"/>
  <c r="F26" i="5"/>
  <c r="G26" i="5" s="1"/>
  <c r="L25" i="7"/>
  <c r="M25" i="7" s="1"/>
  <c r="R26" i="14"/>
  <c r="S26" i="14" s="1"/>
  <c r="P26" i="5"/>
  <c r="P25" i="5" s="1"/>
  <c r="T26" i="5"/>
  <c r="T25" i="5" s="1"/>
  <c r="U25" i="5" s="1"/>
  <c r="W32" i="5"/>
  <c r="I36" i="11"/>
  <c r="Y35" i="14"/>
  <c r="M30" i="11"/>
  <c r="S33" i="11"/>
  <c r="Z23" i="14"/>
  <c r="I31" i="5"/>
  <c r="Y33" i="11"/>
  <c r="Y30" i="5"/>
  <c r="S33" i="5"/>
  <c r="G36" i="5"/>
  <c r="M37" i="5"/>
  <c r="E30" i="5"/>
  <c r="W37" i="11"/>
  <c r="M34" i="14"/>
  <c r="E32" i="11"/>
  <c r="P14" i="11"/>
  <c r="P15" i="11" s="1"/>
  <c r="AA45" i="5"/>
  <c r="S30" i="14"/>
  <c r="Z25" i="7"/>
  <c r="AA25" i="7" s="1"/>
  <c r="AA55" i="5"/>
  <c r="G30" i="5"/>
  <c r="AA41" i="5"/>
  <c r="G40" i="5"/>
  <c r="G40" i="14"/>
  <c r="G32" i="5"/>
  <c r="G34" i="14"/>
  <c r="G35" i="5"/>
  <c r="F14" i="14"/>
  <c r="F15" i="14" s="1"/>
  <c r="G33" i="5"/>
  <c r="G31" i="5"/>
  <c r="AA51" i="14"/>
  <c r="AA37" i="5"/>
  <c r="AA40" i="5"/>
  <c r="S38" i="5"/>
  <c r="U35" i="14"/>
  <c r="G37" i="5"/>
  <c r="G34" i="5"/>
  <c r="F23" i="5"/>
  <c r="F14" i="5"/>
  <c r="F15" i="5" s="1"/>
  <c r="S34" i="5"/>
  <c r="AA34" i="5"/>
  <c r="P23" i="11"/>
  <c r="G38" i="5"/>
  <c r="G38" i="14"/>
  <c r="G37" i="14"/>
  <c r="G35" i="14"/>
  <c r="G31" i="14"/>
  <c r="U36" i="14"/>
  <c r="G30" i="14"/>
  <c r="U38" i="14"/>
  <c r="G33" i="14"/>
  <c r="G32" i="14"/>
  <c r="K34" i="11"/>
  <c r="G36" i="14"/>
  <c r="U37" i="14"/>
  <c r="F23" i="14"/>
  <c r="K40" i="11"/>
  <c r="AA34" i="14"/>
  <c r="AA31" i="14"/>
  <c r="J14" i="11"/>
  <c r="J15" i="11" s="1"/>
  <c r="Z14" i="14"/>
  <c r="Z15" i="14" s="1"/>
  <c r="K33" i="11"/>
  <c r="AA54" i="14"/>
  <c r="K36" i="11"/>
  <c r="J23" i="11"/>
  <c r="AA47" i="14"/>
  <c r="AA56" i="14"/>
  <c r="K30" i="11"/>
  <c r="K37" i="11"/>
  <c r="AA30" i="14"/>
  <c r="K35" i="11"/>
  <c r="K38" i="11"/>
  <c r="AA37" i="14"/>
  <c r="AA28" i="14"/>
  <c r="K31" i="11"/>
  <c r="AA53" i="14"/>
  <c r="AA43" i="14"/>
  <c r="K32" i="11"/>
  <c r="Q36" i="11"/>
  <c r="AA35" i="5"/>
  <c r="AA43" i="5"/>
  <c r="AA49" i="5"/>
  <c r="S40" i="5"/>
  <c r="U32" i="14"/>
  <c r="S36" i="5"/>
  <c r="Q35" i="11"/>
  <c r="Q33" i="11"/>
  <c r="Q30" i="11"/>
  <c r="AA27" i="5"/>
  <c r="AA56" i="5"/>
  <c r="AA47" i="5"/>
  <c r="AA48" i="5"/>
  <c r="U40" i="14"/>
  <c r="T23" i="14"/>
  <c r="AA33" i="5"/>
  <c r="S37" i="5"/>
  <c r="S35" i="5"/>
  <c r="U30" i="14"/>
  <c r="T14" i="14"/>
  <c r="T15" i="14" s="1"/>
  <c r="S32" i="5"/>
  <c r="AA42" i="5"/>
  <c r="Z23" i="5"/>
  <c r="Z14" i="5"/>
  <c r="Z15" i="5" s="1"/>
  <c r="AA50" i="5"/>
  <c r="Q34" i="14"/>
  <c r="Q30" i="14"/>
  <c r="P23" i="14"/>
  <c r="S31" i="5"/>
  <c r="Q32" i="11"/>
  <c r="Q36" i="14"/>
  <c r="Q34" i="11"/>
  <c r="AA44" i="5"/>
  <c r="AA32" i="5"/>
  <c r="AA28" i="5"/>
  <c r="AA36" i="5"/>
  <c r="AA38" i="5"/>
  <c r="AA53" i="5"/>
  <c r="AA31" i="5"/>
  <c r="R23" i="5"/>
  <c r="Q40" i="11"/>
  <c r="S30" i="5"/>
  <c r="R14" i="5"/>
  <c r="R15" i="5" s="1"/>
  <c r="Q31" i="14"/>
  <c r="Q37" i="14"/>
  <c r="Q32" i="14"/>
  <c r="Q38" i="14"/>
  <c r="AA54" i="5"/>
  <c r="AA52" i="5"/>
  <c r="AA30" i="5"/>
  <c r="P14" i="14"/>
  <c r="P15" i="14" s="1"/>
  <c r="AA46" i="5"/>
  <c r="P23" i="5"/>
  <c r="Q38" i="5"/>
  <c r="AA41" i="14"/>
  <c r="AA42" i="14"/>
  <c r="AA45" i="14"/>
  <c r="AA48" i="14"/>
  <c r="AA46" i="14"/>
  <c r="AA35" i="14"/>
  <c r="AA32" i="14"/>
  <c r="AA27" i="14"/>
  <c r="AA49" i="14"/>
  <c r="AA50" i="14"/>
  <c r="AA44" i="14"/>
  <c r="AA55" i="14"/>
  <c r="AA52" i="14"/>
  <c r="AA36" i="14"/>
  <c r="Q33" i="14"/>
  <c r="AA38" i="14"/>
  <c r="AA33" i="14"/>
  <c r="AA40" i="14"/>
  <c r="Q35" i="14"/>
  <c r="Q40" i="14"/>
  <c r="Q37" i="11"/>
  <c r="Q38" i="11"/>
  <c r="Q31" i="11"/>
  <c r="S31" i="11"/>
  <c r="Q34" i="5"/>
  <c r="Q30" i="5"/>
  <c r="M40" i="5"/>
  <c r="M40" i="11"/>
  <c r="Q33" i="5"/>
  <c r="S34" i="11"/>
  <c r="Q36" i="5"/>
  <c r="Q40" i="5"/>
  <c r="P14" i="5"/>
  <c r="P15" i="5" s="1"/>
  <c r="Q32" i="5"/>
  <c r="Q31" i="5"/>
  <c r="Q35" i="5"/>
  <c r="Q37" i="5"/>
  <c r="S37" i="11"/>
  <c r="S40" i="11"/>
  <c r="W31" i="5"/>
  <c r="S30" i="11"/>
  <c r="R14" i="11"/>
  <c r="R15" i="11" s="1"/>
  <c r="R23" i="11"/>
  <c r="S35" i="11"/>
  <c r="S36" i="11"/>
  <c r="S38" i="11"/>
  <c r="S32" i="11"/>
  <c r="M38" i="5"/>
  <c r="AB20" i="14"/>
  <c r="W38" i="5"/>
  <c r="Y33" i="14"/>
  <c r="L22" i="14"/>
  <c r="L23" i="14" s="1"/>
  <c r="M33" i="14"/>
  <c r="M35" i="14"/>
  <c r="M31" i="14"/>
  <c r="W40" i="5"/>
  <c r="Y40" i="5"/>
  <c r="M37" i="11"/>
  <c r="E36" i="11"/>
  <c r="M38" i="14"/>
  <c r="Y30" i="14"/>
  <c r="E40" i="11"/>
  <c r="M32" i="14"/>
  <c r="E31" i="5"/>
  <c r="W32" i="11"/>
  <c r="W33" i="11"/>
  <c r="E35" i="5"/>
  <c r="Y31" i="11"/>
  <c r="E40" i="5"/>
  <c r="E36" i="5"/>
  <c r="Y30" i="11"/>
  <c r="I30" i="11"/>
  <c r="W30" i="11"/>
  <c r="W38" i="11"/>
  <c r="AB31" i="7"/>
  <c r="AC30" i="7" s="1"/>
  <c r="E33" i="5"/>
  <c r="E32" i="5"/>
  <c r="E38" i="5"/>
  <c r="M40" i="14"/>
  <c r="E37" i="11"/>
  <c r="M38" i="11"/>
  <c r="Y38" i="14"/>
  <c r="M36" i="14"/>
  <c r="W40" i="11"/>
  <c r="M33" i="5"/>
  <c r="E35" i="11"/>
  <c r="M37" i="14"/>
  <c r="E34" i="11"/>
  <c r="M30" i="14"/>
  <c r="V25" i="7"/>
  <c r="W25" i="7" s="1"/>
  <c r="H26" i="5"/>
  <c r="I26" i="5" s="1"/>
  <c r="Z26" i="5"/>
  <c r="AA26" i="5" s="1"/>
  <c r="H25" i="7"/>
  <c r="H24" i="7" s="1"/>
  <c r="I24" i="7" s="1"/>
  <c r="J26" i="14"/>
  <c r="K26" i="14" s="1"/>
  <c r="U31" i="14"/>
  <c r="K33" i="14"/>
  <c r="I34" i="5"/>
  <c r="D26" i="14"/>
  <c r="E26" i="14" s="1"/>
  <c r="X26" i="14"/>
  <c r="Y26" i="14" s="1"/>
  <c r="X26" i="5"/>
  <c r="V26" i="11"/>
  <c r="W26" i="11" s="1"/>
  <c r="P25" i="7"/>
  <c r="D25" i="7"/>
  <c r="X25" i="7"/>
  <c r="R26" i="5"/>
  <c r="S26" i="5" s="1"/>
  <c r="R25" i="7"/>
  <c r="S25" i="7" s="1"/>
  <c r="D26" i="11"/>
  <c r="E26" i="11" s="1"/>
  <c r="R26" i="11"/>
  <c r="S26" i="11" s="1"/>
  <c r="X26" i="11"/>
  <c r="Y26" i="11" s="1"/>
  <c r="H26" i="11"/>
  <c r="I26" i="11" s="1"/>
  <c r="L26" i="11"/>
  <c r="M26" i="11" s="1"/>
  <c r="F26" i="11"/>
  <c r="G26" i="11" s="1"/>
  <c r="L26" i="14"/>
  <c r="M26" i="14" s="1"/>
  <c r="P26" i="14"/>
  <c r="P25" i="14" s="1"/>
  <c r="Q25" i="14" s="1"/>
  <c r="T26" i="11"/>
  <c r="T25" i="11" s="1"/>
  <c r="U25" i="11" s="1"/>
  <c r="J26" i="11"/>
  <c r="K26" i="11" s="1"/>
  <c r="Z26" i="11"/>
  <c r="AA26" i="11" s="1"/>
  <c r="N26" i="11"/>
  <c r="O26" i="11" s="1"/>
  <c r="J26" i="5"/>
  <c r="K26" i="5" s="1"/>
  <c r="AB35" i="7"/>
  <c r="AC34" i="7" s="1"/>
  <c r="F26" i="14"/>
  <c r="F25" i="14" s="1"/>
  <c r="E38" i="11"/>
  <c r="L26" i="5"/>
  <c r="M26" i="5" s="1"/>
  <c r="V26" i="14"/>
  <c r="V25" i="14" s="1"/>
  <c r="P26" i="11"/>
  <c r="N25" i="7"/>
  <c r="AB37" i="7"/>
  <c r="AC36" i="7" s="1"/>
  <c r="Z26" i="14"/>
  <c r="AA26" i="14" s="1"/>
  <c r="AB36" i="7"/>
  <c r="AC35" i="7" s="1"/>
  <c r="J25" i="7"/>
  <c r="AB29" i="7"/>
  <c r="AC28" i="7" s="1"/>
  <c r="D23" i="14"/>
  <c r="D14" i="14"/>
  <c r="D15" i="14" s="1"/>
  <c r="E31" i="14"/>
  <c r="AB21" i="7"/>
  <c r="AB20" i="11"/>
  <c r="X14" i="11"/>
  <c r="X15" i="11" s="1"/>
  <c r="Y34" i="11"/>
  <c r="L22" i="5"/>
  <c r="L23" i="5" s="1"/>
  <c r="X14" i="5"/>
  <c r="X15" i="5" s="1"/>
  <c r="Y34" i="5"/>
  <c r="E34" i="14"/>
  <c r="Y37" i="11"/>
  <c r="X23" i="14"/>
  <c r="X14" i="14"/>
  <c r="X15" i="14" s="1"/>
  <c r="M34" i="11"/>
  <c r="L14" i="11"/>
  <c r="L15" i="11" s="1"/>
  <c r="Y31" i="14"/>
  <c r="Y37" i="14"/>
  <c r="V23" i="5"/>
  <c r="V14" i="5"/>
  <c r="V15" i="5" s="1"/>
  <c r="W34" i="5"/>
  <c r="W33" i="5"/>
  <c r="W36" i="5"/>
  <c r="Y32" i="5"/>
  <c r="M36" i="11"/>
  <c r="AB30" i="7"/>
  <c r="AC29" i="7" s="1"/>
  <c r="E30" i="14"/>
  <c r="Y34" i="14"/>
  <c r="Y40" i="11"/>
  <c r="Y35" i="11"/>
  <c r="Y38" i="5"/>
  <c r="Y33" i="5"/>
  <c r="L14" i="5"/>
  <c r="L15" i="5" s="1"/>
  <c r="M30" i="5"/>
  <c r="M34" i="5"/>
  <c r="M35" i="5"/>
  <c r="Y36" i="14"/>
  <c r="Y32" i="14"/>
  <c r="Y37" i="5"/>
  <c r="Y40" i="14"/>
  <c r="E37" i="14"/>
  <c r="Y31" i="5"/>
  <c r="M35" i="11"/>
  <c r="W37" i="5"/>
  <c r="Y36" i="5"/>
  <c r="Y36" i="11"/>
  <c r="D14" i="11"/>
  <c r="D15" i="11" s="1"/>
  <c r="E31" i="11"/>
  <c r="I38" i="11"/>
  <c r="AB20" i="5"/>
  <c r="M33" i="11"/>
  <c r="E33" i="11"/>
  <c r="E36" i="14"/>
  <c r="E40" i="14"/>
  <c r="E38" i="14"/>
  <c r="W30" i="5"/>
  <c r="Y38" i="11"/>
  <c r="M36" i="5"/>
  <c r="E37" i="5"/>
  <c r="D14" i="5"/>
  <c r="D15" i="5" s="1"/>
  <c r="V14" i="11"/>
  <c r="V15" i="11" s="1"/>
  <c r="W31" i="11"/>
  <c r="W34" i="11"/>
  <c r="V23" i="11"/>
  <c r="W35" i="11"/>
  <c r="E33" i="14"/>
  <c r="E32" i="14"/>
  <c r="E35" i="14"/>
  <c r="M32" i="11"/>
  <c r="E30" i="11"/>
  <c r="E34" i="5"/>
  <c r="Y35" i="5"/>
  <c r="Y32" i="11"/>
  <c r="M31" i="11"/>
  <c r="M32" i="5"/>
  <c r="M31" i="5"/>
  <c r="W35" i="5"/>
  <c r="L14" i="14"/>
  <c r="L15" i="14" s="1"/>
  <c r="W36" i="11"/>
  <c r="I30" i="5"/>
  <c r="I36" i="5"/>
  <c r="AB13" i="11"/>
  <c r="H22" i="7"/>
  <c r="AB22" i="7" s="1"/>
  <c r="AB13" i="5"/>
  <c r="H22" i="14"/>
  <c r="AB19" i="14"/>
  <c r="H22" i="5"/>
  <c r="AB19" i="5"/>
  <c r="I40" i="14"/>
  <c r="AB40" i="14"/>
  <c r="H14" i="11"/>
  <c r="H15" i="11" s="1"/>
  <c r="I34" i="11"/>
  <c r="I35" i="11"/>
  <c r="I33" i="11"/>
  <c r="I37" i="11"/>
  <c r="I40" i="5"/>
  <c r="AB40" i="5"/>
  <c r="AB13" i="14"/>
  <c r="I32" i="11"/>
  <c r="I40" i="11"/>
  <c r="AB40" i="11"/>
  <c r="H22" i="11"/>
  <c r="AB19" i="11"/>
  <c r="I31" i="11"/>
  <c r="H14" i="5"/>
  <c r="H15" i="5" s="1"/>
  <c r="I35" i="5"/>
  <c r="I33" i="5"/>
  <c r="I30" i="14"/>
  <c r="I36" i="14"/>
  <c r="I37" i="14"/>
  <c r="H14" i="14"/>
  <c r="H15" i="14" s="1"/>
  <c r="I32" i="14"/>
  <c r="I38" i="14"/>
  <c r="I31" i="14"/>
  <c r="I38" i="5"/>
  <c r="I37" i="5"/>
  <c r="I32" i="5"/>
  <c r="AB27" i="7" l="1"/>
  <c r="AC26" i="7" s="1"/>
  <c r="AC27" i="7"/>
  <c r="AB22" i="11"/>
  <c r="AB33" i="7"/>
  <c r="AC32" i="7" s="1"/>
  <c r="N26" i="5"/>
  <c r="O26" i="5" s="1"/>
  <c r="F25" i="7"/>
  <c r="G25" i="7" s="1"/>
  <c r="AB34" i="7"/>
  <c r="AC33" i="7" s="1"/>
  <c r="T26" i="14"/>
  <c r="U26" i="14" s="1"/>
  <c r="AB32" i="7"/>
  <c r="AC31" i="7" s="1"/>
  <c r="H26" i="14"/>
  <c r="I26" i="14" s="1"/>
  <c r="I34" i="14"/>
  <c r="AB34" i="14" s="1"/>
  <c r="T25" i="7"/>
  <c r="U25" i="7" s="1"/>
  <c r="N26" i="14"/>
  <c r="N25" i="14" s="1"/>
  <c r="N57" i="14" s="1"/>
  <c r="J24" i="7"/>
  <c r="K25" i="7"/>
  <c r="X24" i="7"/>
  <c r="Y24" i="7" s="1"/>
  <c r="Y25" i="7"/>
  <c r="N24" i="7"/>
  <c r="O25" i="7"/>
  <c r="P24" i="7"/>
  <c r="Q25" i="7"/>
  <c r="D24" i="7"/>
  <c r="E24" i="7" s="1"/>
  <c r="AB29" i="5"/>
  <c r="AB27" i="5"/>
  <c r="D25" i="5"/>
  <c r="E25" i="5" s="1"/>
  <c r="U26" i="5"/>
  <c r="F25" i="5"/>
  <c r="G25" i="5" s="1"/>
  <c r="V25" i="5"/>
  <c r="W25" i="5" s="1"/>
  <c r="X25" i="5"/>
  <c r="X57" i="5" s="1"/>
  <c r="L24" i="7"/>
  <c r="R25" i="14"/>
  <c r="S25" i="14" s="1"/>
  <c r="Q26" i="5"/>
  <c r="I25" i="7"/>
  <c r="D25" i="11"/>
  <c r="D57" i="11" s="1"/>
  <c r="Y26" i="5"/>
  <c r="L25" i="5"/>
  <c r="M25" i="5" s="1"/>
  <c r="Z24" i="7"/>
  <c r="AA24" i="7" s="1"/>
  <c r="N25" i="11"/>
  <c r="O25" i="11" s="1"/>
  <c r="X25" i="14"/>
  <c r="Y25" i="14" s="1"/>
  <c r="P25" i="11"/>
  <c r="P57" i="11" s="1"/>
  <c r="U26" i="11"/>
  <c r="J25" i="11"/>
  <c r="K25" i="11" s="1"/>
  <c r="V24" i="7"/>
  <c r="W24" i="7" s="1"/>
  <c r="E25" i="7"/>
  <c r="R24" i="7"/>
  <c r="S24" i="7" s="1"/>
  <c r="J25" i="5"/>
  <c r="K25" i="5" s="1"/>
  <c r="X25" i="11"/>
  <c r="X57" i="11" s="1"/>
  <c r="Z25" i="5"/>
  <c r="AA25" i="5" s="1"/>
  <c r="P57" i="5"/>
  <c r="Q25" i="5"/>
  <c r="T57" i="5"/>
  <c r="AB22" i="14"/>
  <c r="T57" i="11"/>
  <c r="AB37" i="11"/>
  <c r="AB30" i="11"/>
  <c r="AB22" i="5"/>
  <c r="AB28" i="11"/>
  <c r="D25" i="14"/>
  <c r="D57" i="14" s="1"/>
  <c r="R25" i="5"/>
  <c r="R57" i="5" s="1"/>
  <c r="J25" i="14"/>
  <c r="Q26" i="11"/>
  <c r="L25" i="14"/>
  <c r="M25" i="14" s="1"/>
  <c r="AB27" i="11"/>
  <c r="G26" i="14"/>
  <c r="AB31" i="5"/>
  <c r="V25" i="11"/>
  <c r="W25" i="11" s="1"/>
  <c r="AB30" i="5"/>
  <c r="R25" i="11"/>
  <c r="S25" i="11" s="1"/>
  <c r="L25" i="11"/>
  <c r="M25" i="11" s="1"/>
  <c r="P57" i="14"/>
  <c r="AB30" i="14"/>
  <c r="W26" i="14"/>
  <c r="Z25" i="11"/>
  <c r="Z57" i="11" s="1"/>
  <c r="F25" i="11"/>
  <c r="G25" i="11" s="1"/>
  <c r="Q26" i="14"/>
  <c r="Z25" i="14"/>
  <c r="AA25" i="14" s="1"/>
  <c r="AB36" i="11"/>
  <c r="AB33" i="14"/>
  <c r="AB36" i="14"/>
  <c r="AB35" i="5"/>
  <c r="AB34" i="11"/>
  <c r="AB34" i="5"/>
  <c r="AB32" i="5"/>
  <c r="AB38" i="14"/>
  <c r="AB31" i="11"/>
  <c r="AB38" i="11"/>
  <c r="AB32" i="11"/>
  <c r="AB37" i="5"/>
  <c r="AB35" i="14"/>
  <c r="AB33" i="5"/>
  <c r="AB33" i="11"/>
  <c r="AB36" i="5"/>
  <c r="AB38" i="5"/>
  <c r="AB31" i="14"/>
  <c r="AB32" i="14"/>
  <c r="AB37" i="14"/>
  <c r="AB28" i="5"/>
  <c r="AB35" i="11"/>
  <c r="H23" i="5"/>
  <c r="AB23" i="5" s="1"/>
  <c r="H25" i="11"/>
  <c r="I25" i="11" s="1"/>
  <c r="H57" i="7"/>
  <c r="I57" i="7" s="1"/>
  <c r="W25" i="14"/>
  <c r="V57" i="14"/>
  <c r="H23" i="14"/>
  <c r="AB23" i="14" s="1"/>
  <c r="H23" i="11"/>
  <c r="G25" i="14"/>
  <c r="F57" i="14"/>
  <c r="H25" i="5"/>
  <c r="I25" i="5" s="1"/>
  <c r="F24" i="7" l="1"/>
  <c r="G24" i="7" s="1"/>
  <c r="N25" i="5"/>
  <c r="O25" i="5" s="1"/>
  <c r="T25" i="14"/>
  <c r="U25" i="14" s="1"/>
  <c r="H25" i="14"/>
  <c r="H57" i="14" s="1"/>
  <c r="O25" i="14"/>
  <c r="T24" i="7"/>
  <c r="U24" i="7" s="1"/>
  <c r="O26" i="14"/>
  <c r="AB26" i="14" s="1"/>
  <c r="X57" i="7"/>
  <c r="Y57" i="7" s="1"/>
  <c r="L57" i="7"/>
  <c r="M57" i="7" s="1"/>
  <c r="M24" i="7"/>
  <c r="N57" i="7"/>
  <c r="O57" i="7" s="1"/>
  <c r="O24" i="7"/>
  <c r="P57" i="7"/>
  <c r="Q57" i="7" s="1"/>
  <c r="Q24" i="7"/>
  <c r="J57" i="7"/>
  <c r="K57" i="7" s="1"/>
  <c r="K24" i="7"/>
  <c r="D57" i="7"/>
  <c r="E57" i="7" s="1"/>
  <c r="D57" i="5"/>
  <c r="V57" i="5"/>
  <c r="F57" i="5"/>
  <c r="Y25" i="5"/>
  <c r="R57" i="14"/>
  <c r="AB26" i="5"/>
  <c r="E25" i="11"/>
  <c r="Q25" i="11"/>
  <c r="L57" i="5"/>
  <c r="N57" i="11"/>
  <c r="Z57" i="7"/>
  <c r="AA57" i="7" s="1"/>
  <c r="Y25" i="11"/>
  <c r="X57" i="14"/>
  <c r="J57" i="5"/>
  <c r="J57" i="11"/>
  <c r="R57" i="7"/>
  <c r="S57" i="7" s="1"/>
  <c r="AB26" i="11"/>
  <c r="V57" i="7"/>
  <c r="W57" i="7" s="1"/>
  <c r="Z57" i="5"/>
  <c r="R57" i="11"/>
  <c r="E25" i="14"/>
  <c r="AA25" i="11"/>
  <c r="L57" i="14"/>
  <c r="L57" i="11"/>
  <c r="S25" i="5"/>
  <c r="V57" i="11"/>
  <c r="K25" i="14"/>
  <c r="J57" i="14"/>
  <c r="AB25" i="7"/>
  <c r="AC24" i="7" s="1"/>
  <c r="F57" i="11"/>
  <c r="Z57" i="14"/>
  <c r="H57" i="11"/>
  <c r="AB23" i="11"/>
  <c r="H57" i="5"/>
  <c r="F57" i="7" l="1"/>
  <c r="G57" i="7" s="1"/>
  <c r="T57" i="7"/>
  <c r="U57" i="7" s="1"/>
  <c r="I25" i="14"/>
  <c r="AB25" i="14" s="1"/>
  <c r="N57" i="5"/>
  <c r="AB57" i="5" s="1"/>
  <c r="T57" i="14"/>
  <c r="AB57" i="14" s="1"/>
  <c r="AB24" i="7"/>
  <c r="AC23" i="7" s="1"/>
  <c r="AB25" i="5"/>
  <c r="AB25" i="11"/>
  <c r="AB57" i="11"/>
  <c r="AB57" i="7" l="1"/>
  <c r="AC56" i="7" s="1"/>
</calcChain>
</file>

<file path=xl/sharedStrings.xml><?xml version="1.0" encoding="utf-8"?>
<sst xmlns="http://schemas.openxmlformats.org/spreadsheetml/2006/main" count="497" uniqueCount="149">
  <si>
    <t>INGRESOS</t>
  </si>
  <si>
    <t>%</t>
  </si>
  <si>
    <t>TOTAL</t>
  </si>
  <si>
    <t>VENTA ALIMENTOS</t>
  </si>
  <si>
    <t>VENTA BEBIDAS</t>
  </si>
  <si>
    <t>ACTIVIDADES CONEXAS</t>
  </si>
  <si>
    <t>FESTIVALES</t>
  </si>
  <si>
    <t>CLASES DE COCINA</t>
  </si>
  <si>
    <t>VENTA PROMEDIO DIARIA</t>
  </si>
  <si>
    <t>ASISTENCIA PROMEDIO</t>
  </si>
  <si>
    <t>CONSUMO PROMEDIO</t>
  </si>
  <si>
    <t>COSTOS</t>
  </si>
  <si>
    <t>COSTO ALIMENTOS</t>
  </si>
  <si>
    <t>COSTO BEBIDAS</t>
  </si>
  <si>
    <t>COSTO ACTIVIDADES CONEXAS</t>
  </si>
  <si>
    <t>UTILIDAD OPERACIONAL</t>
  </si>
  <si>
    <t>GASTOS OPERACIONALES</t>
  </si>
  <si>
    <t>GASTOS PERSONAL</t>
  </si>
  <si>
    <t>SUELDOS</t>
  </si>
  <si>
    <t>HORAS EXTRAS Y RECARGOS</t>
  </si>
  <si>
    <t>AUXILIO DE TRANSPORTE</t>
  </si>
  <si>
    <t>CESANTIAS</t>
  </si>
  <si>
    <t>PRIMA DE SERVICIOS</t>
  </si>
  <si>
    <t>VACACIONES</t>
  </si>
  <si>
    <t>APORTES ARP</t>
  </si>
  <si>
    <t>APORTE EPS</t>
  </si>
  <si>
    <t>APORTE FONDO PENSIONES</t>
  </si>
  <si>
    <t>CAJA DE COMPENSACION</t>
  </si>
  <si>
    <t>APORTE ICBF</t>
  </si>
  <si>
    <t>SENA</t>
  </si>
  <si>
    <t>INDUSTRIA Y COMERCIO</t>
  </si>
  <si>
    <t>IMPUESTO HOTELERO (0.25%)</t>
  </si>
  <si>
    <t>ARRENDAMIENTOS</t>
  </si>
  <si>
    <t xml:space="preserve">AFILIACIONES </t>
  </si>
  <si>
    <t>SEGURO</t>
  </si>
  <si>
    <t>SERVICIOS TEMPORALES</t>
  </si>
  <si>
    <t>EPS – ARP – PENSION</t>
  </si>
  <si>
    <t>ACUEDUCTO</t>
  </si>
  <si>
    <t>ENERGIA ELECTRICA</t>
  </si>
  <si>
    <t>TELEFONOS</t>
  </si>
  <si>
    <t>GAS</t>
  </si>
  <si>
    <t>MANTENIMIENTO</t>
  </si>
  <si>
    <t>MUSICA AMBIENTAL</t>
  </si>
  <si>
    <t>ASEO Y CAFETERIA</t>
  </si>
  <si>
    <t>PAPELERIA</t>
  </si>
  <si>
    <t>PUBLICIDAD</t>
  </si>
  <si>
    <t>TRANSPORTE</t>
  </si>
  <si>
    <t>UTILIDAD Y/O PERDIDA OP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</si>
  <si>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</si>
  <si>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</si>
  <si>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</si>
  <si>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</si>
  <si>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</si>
  <si>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</si>
  <si>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</si>
  <si>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</si>
  <si>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</si>
  <si>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</si>
  <si>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</si>
  <si>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</si>
  <si>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CATAS DE VINOS</t>
  </si>
  <si>
    <t>OTROS</t>
  </si>
  <si>
    <t>BEBIDAS</t>
  </si>
  <si>
    <t>COMIDA</t>
  </si>
  <si>
    <t>VALORES PROMEDIO DIA</t>
  </si>
  <si>
    <t>VTA DIA</t>
  </si>
  <si>
    <t>ESTIMADOS</t>
  </si>
  <si>
    <t>Nómina</t>
  </si>
  <si>
    <t>Incremento</t>
  </si>
  <si>
    <t>Acueducto</t>
  </si>
  <si>
    <t>Seguro</t>
  </si>
  <si>
    <t>Energía Elecrica</t>
  </si>
  <si>
    <t>Telefónos</t>
  </si>
  <si>
    <t>Gas</t>
  </si>
  <si>
    <t>Mantenimiento</t>
  </si>
  <si>
    <t>Aseo</t>
  </si>
  <si>
    <t>Papelería</t>
  </si>
  <si>
    <t>Publicidad</t>
  </si>
  <si>
    <t>Transporte</t>
  </si>
  <si>
    <t>Reducción</t>
  </si>
  <si>
    <t>Lunes</t>
  </si>
  <si>
    <t>Martes</t>
  </si>
  <si>
    <t>Miercoles</t>
  </si>
  <si>
    <t>Jueves</t>
  </si>
  <si>
    <t>Viernes</t>
  </si>
  <si>
    <t>Sabado</t>
  </si>
  <si>
    <t>Domingo</t>
  </si>
  <si>
    <t>Meseros</t>
  </si>
  <si>
    <t>Hostess</t>
  </si>
  <si>
    <t>TOTALES SIN ICO</t>
  </si>
  <si>
    <t>Salario</t>
  </si>
  <si>
    <t>Total</t>
  </si>
  <si>
    <t>Bonificación</t>
  </si>
  <si>
    <t>Gasto Total</t>
  </si>
  <si>
    <t>Staff</t>
  </si>
  <si>
    <t>Seguridad</t>
  </si>
  <si>
    <t>Auxiliar Barra</t>
  </si>
  <si>
    <t>Jefe de Barra</t>
  </si>
  <si>
    <t>Caja</t>
  </si>
  <si>
    <t>Patinadores</t>
  </si>
  <si>
    <t xml:space="preserve">PRESUPUESTO ESTIMADO 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</si>
  <si>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</si>
  <si>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</si>
  <si>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</si>
  <si>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</si>
  <si>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</si>
  <si>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</si>
  <si>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</si>
  <si>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</si>
  <si>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</si>
  <si>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</si>
  <si>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</si>
  <si>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</si>
  <si>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 xml:space="preserve">Bar </t>
  </si>
  <si>
    <t xml:space="preserve">Salón </t>
  </si>
  <si>
    <t>Sous Chef</t>
  </si>
  <si>
    <t>Pago Oficinas</t>
  </si>
  <si>
    <t>VENTAS PROMEDIO POR DIA PRESUPUESTO</t>
  </si>
  <si>
    <t>PAGO OFICINAS</t>
  </si>
  <si>
    <t>Equivale al 5% de las ventas mensuales del punto</t>
  </si>
  <si>
    <t>Sommelier</t>
  </si>
  <si>
    <t xml:space="preserve">Mercadeo </t>
  </si>
  <si>
    <t xml:space="preserve">IZUMI </t>
  </si>
  <si>
    <t xml:space="preserve">Cocina </t>
  </si>
  <si>
    <t xml:space="preserve">Lider Cocina Fria </t>
  </si>
  <si>
    <t>Jefe Cocina Fría</t>
  </si>
  <si>
    <t xml:space="preserve">Repostero Pastelero </t>
  </si>
  <si>
    <t xml:space="preserve">Lider Cocina caliente </t>
  </si>
  <si>
    <t>Steward</t>
  </si>
  <si>
    <t xml:space="preserve">Auxiliar Cocina Fria </t>
  </si>
  <si>
    <t>Auxiliar cocina caliente</t>
  </si>
  <si>
    <t xml:space="preserve">Lider de Bar </t>
  </si>
  <si>
    <t xml:space="preserve">Jefe de Servicio </t>
  </si>
  <si>
    <t>Capitan de servicio</t>
  </si>
  <si>
    <t>mas iva</t>
  </si>
  <si>
    <t>PERSONAL EXTRA</t>
  </si>
  <si>
    <t>Chef</t>
  </si>
  <si>
    <t xml:space="preserve">Compras e inventarios </t>
  </si>
  <si>
    <t xml:space="preserve">Asistente contable </t>
  </si>
  <si>
    <t>Arriendo local y vivienda</t>
  </si>
  <si>
    <t>Administración</t>
  </si>
  <si>
    <t>Administrador</t>
  </si>
  <si>
    <t>Nombre del Restaurante</t>
  </si>
  <si>
    <t>Restaurante de Prueba</t>
  </si>
  <si>
    <t>Salario mínimo</t>
  </si>
  <si>
    <t>Subsidio Transporte</t>
  </si>
  <si>
    <t>Trabajadores con Subsidio</t>
  </si>
  <si>
    <t>Total Trabajadores</t>
  </si>
  <si>
    <t>Total pagos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</si>
</sst>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&quot;$&quot;#,##0;[Red]&quot;$&quot;#,##0"/>
    <numFmt numFmtId="166" formatCode="#,##0;[Red]#,##0"/>
    <numFmt numFmtId="167" formatCode="#,##0.0;[Red]#,##0.0"/>
  </numFmts>
  <fonts count="2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2"/>
      <color indexed="8"/>
      <name val="Verdana"/>
      <family val="2"/>
    </font>
    <font>
      <b/>
      <sz val="7"/>
      <color indexed="8"/>
      <name val="Verdana"/>
      <family val="2"/>
    </font>
    <font>
      <sz val="7"/>
      <color indexed="8"/>
      <name val="Verdana"/>
      <family val="2"/>
    </font>
    <font>
      <sz val="10"/>
      <color indexed="8"/>
      <name val="Verdana"/>
      <family val="2"/>
    </font>
    <font>
      <b/>
      <sz val="10"/>
      <color indexed="8"/>
      <name val="Verdana"/>
      <family val="2"/>
    </font>
    <font>
      <b/>
      <sz val="8"/>
      <color indexed="8"/>
      <name val="Verdana"/>
      <family val="2"/>
    </font>
    <font>
      <sz val="8"/>
      <color indexed="8"/>
      <name val="Verdana"/>
      <family val="2"/>
    </font>
    <font>
      <b/>
      <sz val="11"/>
      <name val="Verdana"/>
      <family val="2"/>
    </font>
    <font>
      <sz val="10"/>
      <name val="Arial"/>
      <family val="2"/>
    </font>
    <font>
      <b/>
      <sz val="7"/>
      <name val="Verdana"/>
      <family val="2"/>
    </font>
    <font>
      <sz val="7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b/>
      <sz val="12"/>
      <name val="Verdana"/>
      <family val="2"/>
    </font>
    <font>
      <sz val="10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gray0625"/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double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6">
    <xf numFmtId="0" fontId="0" fillId="0" borderId="0" xfId="0"/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3" fontId="7" fillId="0" borderId="1" xfId="0" applyNumberFormat="1" applyFont="1" applyBorder="1" applyAlignment="1">
      <alignment vertical="center"/>
    </xf>
    <xf numFmtId="10" fontId="7" fillId="0" borderId="1" xfId="1" applyNumberFormat="1" applyFont="1" applyBorder="1" applyAlignment="1">
      <alignment vertical="center"/>
    </xf>
    <xf numFmtId="3" fontId="6" fillId="0" borderId="1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3" fontId="7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0" fontId="7" fillId="0" borderId="1" xfId="0" applyNumberFormat="1" applyFont="1" applyBorder="1" applyAlignment="1">
      <alignment vertical="center"/>
    </xf>
    <xf numFmtId="10" fontId="7" fillId="0" borderId="0" xfId="0" applyNumberFormat="1" applyFont="1" applyAlignment="1">
      <alignment vertical="center"/>
    </xf>
    <xf numFmtId="3" fontId="6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3" fontId="7" fillId="0" borderId="3" xfId="0" applyNumberFormat="1" applyFont="1" applyBorder="1" applyAlignment="1">
      <alignment vertical="center"/>
    </xf>
    <xf numFmtId="10" fontId="7" fillId="0" borderId="3" xfId="0" applyNumberFormat="1" applyFont="1" applyBorder="1" applyAlignment="1">
      <alignment vertical="center"/>
    </xf>
    <xf numFmtId="3" fontId="7" fillId="0" borderId="4" xfId="0" applyNumberFormat="1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3" fontId="7" fillId="0" borderId="0" xfId="0" applyNumberFormat="1" applyFont="1" applyBorder="1" applyAlignment="1">
      <alignment vertical="center"/>
    </xf>
    <xf numFmtId="10" fontId="7" fillId="0" borderId="0" xfId="0" applyNumberFormat="1" applyFont="1" applyBorder="1" applyAlignment="1">
      <alignment vertical="center"/>
    </xf>
    <xf numFmtId="3" fontId="7" fillId="0" borderId="6" xfId="0" applyNumberFormat="1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3" fontId="7" fillId="0" borderId="8" xfId="0" applyNumberFormat="1" applyFont="1" applyBorder="1" applyAlignment="1">
      <alignment vertical="center"/>
    </xf>
    <xf numFmtId="10" fontId="7" fillId="0" borderId="8" xfId="0" applyNumberFormat="1" applyFont="1" applyBorder="1" applyAlignment="1">
      <alignment vertical="center"/>
    </xf>
    <xf numFmtId="3" fontId="7" fillId="0" borderId="9" xfId="0" applyNumberFormat="1" applyFont="1" applyBorder="1" applyAlignment="1">
      <alignment vertical="center"/>
    </xf>
    <xf numFmtId="3" fontId="6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/>
    <xf numFmtId="3" fontId="11" fillId="0" borderId="0" xfId="0" applyNumberFormat="1" applyFont="1"/>
    <xf numFmtId="0" fontId="11" fillId="0" borderId="0" xfId="0" applyFont="1" applyAlignment="1">
      <alignment horizontal="center"/>
    </xf>
    <xf numFmtId="3" fontId="11" fillId="0" borderId="0" xfId="0" applyNumberFormat="1" applyFont="1" applyAlignment="1">
      <alignment horizontal="right"/>
    </xf>
    <xf numFmtId="0" fontId="10" fillId="0" borderId="0" xfId="0" applyFont="1"/>
    <xf numFmtId="10" fontId="11" fillId="0" borderId="0" xfId="0" applyNumberFormat="1" applyFont="1"/>
    <xf numFmtId="0" fontId="10" fillId="0" borderId="0" xfId="0" applyFont="1" applyAlignment="1">
      <alignment horizontal="center" vertical="center" wrapText="1"/>
    </xf>
    <xf numFmtId="0" fontId="10" fillId="0" borderId="10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10" fontId="7" fillId="0" borderId="12" xfId="0" applyNumberFormat="1" applyFont="1" applyBorder="1" applyAlignment="1">
      <alignment vertical="center"/>
    </xf>
    <xf numFmtId="3" fontId="7" fillId="0" borderId="13" xfId="0" applyNumberFormat="1" applyFont="1" applyBorder="1" applyAlignment="1">
      <alignment vertical="center"/>
    </xf>
    <xf numFmtId="10" fontId="7" fillId="0" borderId="13" xfId="0" applyNumberFormat="1" applyFont="1" applyBorder="1" applyAlignment="1">
      <alignment vertical="center"/>
    </xf>
    <xf numFmtId="10" fontId="7" fillId="0" borderId="14" xfId="0" applyNumberFormat="1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3" fontId="6" fillId="0" borderId="16" xfId="0" applyNumberFormat="1" applyFont="1" applyBorder="1" applyAlignment="1">
      <alignment vertical="center"/>
    </xf>
    <xf numFmtId="10" fontId="7" fillId="0" borderId="16" xfId="0" applyNumberFormat="1" applyFont="1" applyBorder="1" applyAlignment="1">
      <alignment vertical="center"/>
    </xf>
    <xf numFmtId="3" fontId="6" fillId="0" borderId="17" xfId="0" applyNumberFormat="1" applyFont="1" applyBorder="1" applyAlignment="1">
      <alignment vertical="center"/>
    </xf>
    <xf numFmtId="10" fontId="6" fillId="0" borderId="1" xfId="0" applyNumberFormat="1" applyFont="1" applyBorder="1" applyAlignment="1">
      <alignment vertical="center"/>
    </xf>
    <xf numFmtId="3" fontId="10" fillId="0" borderId="18" xfId="0" applyNumberFormat="1" applyFont="1" applyBorder="1" applyAlignment="1">
      <alignment horizontal="center" vertical="center"/>
    </xf>
    <xf numFmtId="3" fontId="7" fillId="0" borderId="19" xfId="0" applyNumberFormat="1" applyFont="1" applyBorder="1" applyAlignment="1">
      <alignment vertical="center"/>
    </xf>
    <xf numFmtId="3" fontId="7" fillId="0" borderId="20" xfId="0" applyNumberFormat="1" applyFont="1" applyBorder="1" applyAlignment="1">
      <alignment vertical="center"/>
    </xf>
    <xf numFmtId="3" fontId="7" fillId="0" borderId="21" xfId="0" applyNumberFormat="1" applyFont="1" applyBorder="1" applyAlignment="1">
      <alignment vertical="center"/>
    </xf>
    <xf numFmtId="0" fontId="7" fillId="0" borderId="23" xfId="0" applyFont="1" applyBorder="1" applyAlignment="1">
      <alignment vertical="center"/>
    </xf>
    <xf numFmtId="0" fontId="7" fillId="0" borderId="23" xfId="0" applyFont="1" applyBorder="1" applyAlignment="1">
      <alignment horizontal="right" vertical="center"/>
    </xf>
    <xf numFmtId="0" fontId="7" fillId="0" borderId="24" xfId="0" applyFont="1" applyBorder="1" applyAlignment="1">
      <alignment vertical="center"/>
    </xf>
    <xf numFmtId="0" fontId="6" fillId="0" borderId="25" xfId="0" applyFont="1" applyBorder="1" applyAlignment="1">
      <alignment horizontal="center" vertical="center"/>
    </xf>
    <xf numFmtId="0" fontId="7" fillId="0" borderId="25" xfId="0" applyFont="1" applyBorder="1" applyAlignment="1">
      <alignment vertical="center"/>
    </xf>
    <xf numFmtId="0" fontId="7" fillId="0" borderId="25" xfId="0" applyFont="1" applyBorder="1" applyAlignment="1">
      <alignment horizontal="right" vertical="center"/>
    </xf>
    <xf numFmtId="0" fontId="6" fillId="0" borderId="25" xfId="0" applyFont="1" applyBorder="1" applyAlignment="1">
      <alignment vertical="center"/>
    </xf>
    <xf numFmtId="0" fontId="6" fillId="0" borderId="26" xfId="0" applyFont="1" applyBorder="1" applyAlignment="1">
      <alignment vertical="center"/>
    </xf>
    <xf numFmtId="0" fontId="7" fillId="0" borderId="26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3" fontId="10" fillId="0" borderId="0" xfId="0" applyNumberFormat="1" applyFont="1" applyBorder="1" applyAlignment="1">
      <alignment horizontal="center" vertical="center"/>
    </xf>
    <xf numFmtId="3" fontId="2" fillId="0" borderId="0" xfId="0" applyNumberFormat="1" applyFont="1"/>
    <xf numFmtId="0" fontId="7" fillId="0" borderId="27" xfId="0" applyFont="1" applyBorder="1" applyAlignment="1">
      <alignment vertical="center"/>
    </xf>
    <xf numFmtId="0" fontId="7" fillId="0" borderId="28" xfId="0" applyFont="1" applyBorder="1" applyAlignment="1">
      <alignment vertical="center"/>
    </xf>
    <xf numFmtId="0" fontId="7" fillId="0" borderId="28" xfId="0" applyFont="1" applyBorder="1" applyAlignment="1">
      <alignment horizontal="right" vertical="center"/>
    </xf>
    <xf numFmtId="0" fontId="7" fillId="0" borderId="29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9" fontId="7" fillId="0" borderId="22" xfId="0" applyNumberFormat="1" applyFont="1" applyBorder="1" applyAlignment="1">
      <alignment vertical="center"/>
    </xf>
    <xf numFmtId="3" fontId="7" fillId="0" borderId="32" xfId="0" applyNumberFormat="1" applyFont="1" applyBorder="1" applyAlignment="1">
      <alignment vertical="center"/>
    </xf>
    <xf numFmtId="165" fontId="8" fillId="0" borderId="0" xfId="0" applyNumberFormat="1" applyFont="1" applyAlignment="1">
      <alignment vertical="center"/>
    </xf>
    <xf numFmtId="165" fontId="3" fillId="0" borderId="0" xfId="0" applyNumberFormat="1" applyFont="1"/>
    <xf numFmtId="165" fontId="9" fillId="0" borderId="0" xfId="0" applyNumberFormat="1" applyFont="1" applyAlignment="1">
      <alignment vertical="center"/>
    </xf>
    <xf numFmtId="165" fontId="9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vertical="center"/>
    </xf>
    <xf numFmtId="166" fontId="5" fillId="0" borderId="0" xfId="0" applyNumberFormat="1" applyFont="1" applyAlignment="1">
      <alignment horizontal="center" vertical="center"/>
    </xf>
    <xf numFmtId="166" fontId="8" fillId="0" borderId="0" xfId="0" applyNumberFormat="1" applyFont="1" applyAlignment="1">
      <alignment vertical="center"/>
    </xf>
    <xf numFmtId="166" fontId="3" fillId="0" borderId="0" xfId="0" applyNumberFormat="1" applyFont="1" applyAlignment="1">
      <alignment vertical="center"/>
    </xf>
    <xf numFmtId="166" fontId="4" fillId="0" borderId="0" xfId="2" applyNumberFormat="1" applyFont="1"/>
    <xf numFmtId="165" fontId="3" fillId="0" borderId="0" xfId="3" applyNumberFormat="1" applyFont="1"/>
    <xf numFmtId="165" fontId="3" fillId="0" borderId="0" xfId="2" applyNumberFormat="1" applyFont="1"/>
    <xf numFmtId="165" fontId="3" fillId="0" borderId="0" xfId="4" applyNumberFormat="1" applyFont="1"/>
    <xf numFmtId="166" fontId="3" fillId="0" borderId="0" xfId="2" applyNumberFormat="1" applyFont="1"/>
    <xf numFmtId="10" fontId="3" fillId="0" borderId="0" xfId="1" applyNumberFormat="1" applyFont="1"/>
    <xf numFmtId="10" fontId="7" fillId="0" borderId="20" xfId="0" applyNumberFormat="1" applyFont="1" applyBorder="1" applyAlignment="1">
      <alignment vertical="center"/>
    </xf>
    <xf numFmtId="10" fontId="7" fillId="0" borderId="19" xfId="0" applyNumberFormat="1" applyFont="1" applyBorder="1" applyAlignment="1">
      <alignment vertical="center"/>
    </xf>
    <xf numFmtId="10" fontId="7" fillId="0" borderId="19" xfId="1" applyNumberFormat="1" applyFont="1" applyBorder="1" applyAlignment="1">
      <alignment vertical="center"/>
    </xf>
    <xf numFmtId="10" fontId="7" fillId="0" borderId="20" xfId="1" applyNumberFormat="1" applyFont="1" applyBorder="1" applyAlignment="1">
      <alignment vertical="center"/>
    </xf>
    <xf numFmtId="10" fontId="7" fillId="0" borderId="13" xfId="1" applyNumberFormat="1" applyFont="1" applyBorder="1" applyAlignment="1">
      <alignment vertical="center"/>
    </xf>
    <xf numFmtId="10" fontId="7" fillId="0" borderId="14" xfId="1" applyNumberFormat="1" applyFont="1" applyBorder="1" applyAlignment="1">
      <alignment vertical="center"/>
    </xf>
    <xf numFmtId="10" fontId="14" fillId="0" borderId="16" xfId="0" applyNumberFormat="1" applyFont="1" applyBorder="1" applyAlignment="1">
      <alignment vertical="center"/>
    </xf>
    <xf numFmtId="3" fontId="14" fillId="0" borderId="17" xfId="0" applyNumberFormat="1" applyFont="1" applyBorder="1" applyAlignment="1">
      <alignment vertical="center"/>
    </xf>
    <xf numFmtId="10" fontId="15" fillId="0" borderId="16" xfId="0" applyNumberFormat="1" applyFont="1" applyBorder="1" applyAlignment="1">
      <alignment vertical="center"/>
    </xf>
    <xf numFmtId="10" fontId="14" fillId="0" borderId="16" xfId="1" applyNumberFormat="1" applyFont="1" applyBorder="1" applyAlignment="1">
      <alignment vertical="center"/>
    </xf>
    <xf numFmtId="10" fontId="6" fillId="0" borderId="16" xfId="1" applyNumberFormat="1" applyFont="1" applyBorder="1" applyAlignment="1">
      <alignment vertical="center"/>
    </xf>
    <xf numFmtId="167" fontId="8" fillId="0" borderId="0" xfId="0" applyNumberFormat="1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166" fontId="12" fillId="0" borderId="0" xfId="2" applyNumberFormat="1" applyFont="1" applyAlignment="1">
      <alignment horizontal="center"/>
    </xf>
    <xf numFmtId="165" fontId="5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6" fillId="2" borderId="14" xfId="0" applyFont="1" applyFill="1" applyBorder="1" applyAlignment="1">
      <alignment horizontal="center" vertical="center" textRotation="255" wrapText="1"/>
    </xf>
    <xf numFmtId="0" fontId="17" fillId="2" borderId="30" xfId="0" applyFont="1" applyFill="1" applyBorder="1" applyAlignment="1">
      <alignment horizontal="center" vertical="center" textRotation="255" wrapText="1"/>
    </xf>
    <xf numFmtId="0" fontId="17" fillId="2" borderId="31" xfId="0" applyFont="1" applyFill="1" applyBorder="1" applyAlignment="1">
      <alignment horizontal="center" vertical="center" textRotation="255" wrapText="1"/>
    </xf>
    <xf numFmtId="0" fontId="16" fillId="2" borderId="30" xfId="0" applyFont="1" applyFill="1" applyBorder="1" applyAlignment="1">
      <alignment horizontal="center" vertical="center" textRotation="255" wrapText="1"/>
    </xf>
    <xf numFmtId="0" fontId="16" fillId="2" borderId="31" xfId="0" applyFont="1" applyFill="1" applyBorder="1" applyAlignment="1">
      <alignment horizontal="center" vertical="center" textRotation="255" wrapText="1"/>
    </xf>
    <xf numFmtId="0" fontId="5" fillId="0" borderId="33" xfId="0" applyFont="1" applyBorder="1" applyAlignment="1">
      <alignment horizontal="center" vertical="center"/>
    </xf>
    <xf numFmtId="165" fontId="18" fillId="0" borderId="0" xfId="0" applyNumberFormat="1" applyFont="1" applyAlignment="1">
      <alignment vertical="center"/>
    </xf>
    <xf numFmtId="166" fontId="4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5" fontId="19" fillId="0" borderId="0" xfId="0" applyNumberFormat="1" applyFont="1" applyAlignment="1">
      <alignment vertical="center"/>
    </xf>
    <xf numFmtId="166" fontId="9" fillId="0" borderId="0" xfId="0" applyNumberFormat="1" applyFont="1" applyAlignment="1">
      <alignment vertical="center"/>
    </xf>
    <xf numFmtId="165" fontId="4" fillId="0" borderId="0" xfId="0" applyNumberFormat="1" applyFont="1"/>
    <xf numFmtId="9" fontId="3" fillId="0" borderId="0" xfId="1" applyFont="1" applyAlignment="1">
      <alignment vertical="center"/>
    </xf>
    <xf numFmtId="165" fontId="4" fillId="0" borderId="34" xfId="0" applyNumberFormat="1" applyFont="1" applyBorder="1" applyAlignment="1">
      <alignment vertical="center"/>
    </xf>
    <xf numFmtId="165" fontId="4" fillId="0" borderId="35" xfId="0" applyNumberFormat="1" applyFont="1" applyBorder="1" applyAlignment="1">
      <alignment vertical="center"/>
    </xf>
    <xf numFmtId="165" fontId="4" fillId="0" borderId="36" xfId="0" applyNumberFormat="1" applyFont="1" applyBorder="1" applyAlignment="1">
      <alignment vertical="center"/>
    </xf>
    <xf numFmtId="165" fontId="4" fillId="0" borderId="10" xfId="0" applyNumberFormat="1" applyFont="1" applyBorder="1" applyAlignment="1">
      <alignment vertical="center"/>
    </xf>
    <xf numFmtId="165" fontId="3" fillId="0" borderId="37" xfId="0" applyNumberFormat="1" applyFont="1" applyBorder="1" applyAlignment="1">
      <alignment vertical="center"/>
    </xf>
    <xf numFmtId="165" fontId="4" fillId="0" borderId="38" xfId="0" applyNumberFormat="1" applyFont="1" applyBorder="1" applyAlignment="1">
      <alignment vertical="center"/>
    </xf>
  </cellXfs>
  <cellStyles count="5">
    <cellStyle name="Millares 2" xfId="3" xr:uid="{00000000-0005-0000-0000-000000000000}"/>
    <cellStyle name="Normal" xfId="0" builtinId="0"/>
    <cellStyle name="Normal 2" xfId="2" xr:uid="{00000000-0005-0000-0000-000002000000}"/>
    <cellStyle name="Porcentaje" xfId="1" builtinId="5"/>
    <cellStyle name="Porcentaje 2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5"/>
  <sheetViews>
    <sheetView showGridLines="0" topLeftCell="A35" workbookViewId="0">
      <selection activeCell="C41" sqref="C41"/>
    </sheetView>
  </sheetViews>
  <sheetFormatPr baseColWidth="10" defaultColWidth="11.453125" defaultRowHeight="13.5" x14ac:dyDescent="0.3"/>
  <cols>
    <col min="1" max="1" width="8.36328125" style="83" bestFit="1" customWidth="1"/>
    <col min="2" max="2" width="32.7265625" style="80" bestFit="1" customWidth="1"/>
    <col min="3" max="3" width="14.81640625" style="80" bestFit="1" customWidth="1"/>
    <col min="4" max="4" width="17.54296875" style="80" bestFit="1" customWidth="1"/>
    <col min="5" max="5" width="14.81640625" style="80" bestFit="1" customWidth="1"/>
    <col min="6" max="6" width="6.7265625" style="80" hidden="1" customWidth="1"/>
    <col min="7" max="7" width="14.81640625" style="77" bestFit="1" customWidth="1"/>
    <col min="8" max="8" width="9.81640625" style="77" bestFit="1" customWidth="1"/>
    <col min="9" max="9" width="11.453125" style="77"/>
    <col min="10" max="10" width="6.81640625" style="77" bestFit="1" customWidth="1"/>
    <col min="11" max="11" width="11.54296875" style="77" bestFit="1" customWidth="1"/>
    <col min="12" max="16384" width="11.453125" style="77"/>
  </cols>
  <sheetData>
    <row r="1" spans="1:7" ht="15" x14ac:dyDescent="0.3">
      <c r="A1" s="114" t="s">
        <v>142</v>
      </c>
      <c r="B1" s="114"/>
      <c r="C1" s="113" t="s">
        <v>143</v>
      </c>
    </row>
    <row r="3" spans="1:7" ht="15" x14ac:dyDescent="0.3">
      <c r="A3" s="104" t="s">
        <v>67</v>
      </c>
      <c r="B3" s="104"/>
      <c r="C3" s="104"/>
      <c r="D3" s="104"/>
      <c r="E3" s="104"/>
      <c r="F3" s="104"/>
      <c r="G3" s="104"/>
    </row>
    <row r="4" spans="1:7" ht="15" x14ac:dyDescent="0.3">
      <c r="A4" s="81"/>
      <c r="B4" s="102"/>
      <c r="C4" s="102"/>
      <c r="D4" s="102"/>
      <c r="E4" s="102"/>
      <c r="F4" s="76"/>
    </row>
    <row r="5" spans="1:7" x14ac:dyDescent="0.3">
      <c r="A5" s="78" t="s">
        <v>140</v>
      </c>
      <c r="C5" s="79" t="s">
        <v>90</v>
      </c>
      <c r="D5" s="79" t="s">
        <v>91</v>
      </c>
      <c r="E5" s="79" t="s">
        <v>92</v>
      </c>
      <c r="F5" s="79"/>
      <c r="G5" s="79" t="s">
        <v>93</v>
      </c>
    </row>
    <row r="6" spans="1:7" x14ac:dyDescent="0.3">
      <c r="A6" s="82">
        <v>1</v>
      </c>
      <c r="B6" s="76" t="s">
        <v>141</v>
      </c>
      <c r="C6" s="76">
        <v>1500000</v>
      </c>
      <c r="D6" s="76">
        <f t="shared" ref="D6:D11" si="0">A6*C6</f>
        <v>1500000</v>
      </c>
      <c r="E6" s="76"/>
      <c r="F6" s="76"/>
      <c r="G6" s="77">
        <f>+D6+E6+F6</f>
        <v>1500000</v>
      </c>
    </row>
    <row r="7" spans="1:7" x14ac:dyDescent="0.3">
      <c r="A7" s="82"/>
      <c r="B7" s="76" t="s">
        <v>137</v>
      </c>
      <c r="C7" s="76">
        <v>0</v>
      </c>
      <c r="D7" s="76">
        <f t="shared" si="0"/>
        <v>0</v>
      </c>
      <c r="E7" s="76"/>
      <c r="F7" s="76"/>
      <c r="G7" s="77">
        <f t="shared" ref="G7:G11" si="1">+D7+E7+F7</f>
        <v>0</v>
      </c>
    </row>
    <row r="8" spans="1:7" x14ac:dyDescent="0.3">
      <c r="A8" s="82"/>
      <c r="B8" s="76" t="s">
        <v>121</v>
      </c>
      <c r="C8" s="76">
        <v>0</v>
      </c>
      <c r="D8" s="76">
        <f t="shared" si="0"/>
        <v>0</v>
      </c>
      <c r="E8" s="76"/>
      <c r="F8" s="76"/>
      <c r="G8" s="77">
        <f t="shared" si="1"/>
        <v>0</v>
      </c>
    </row>
    <row r="9" spans="1:7" x14ac:dyDescent="0.3">
      <c r="A9" s="82">
        <v>1</v>
      </c>
      <c r="B9" s="76" t="s">
        <v>138</v>
      </c>
      <c r="C9" s="76">
        <v>878000</v>
      </c>
      <c r="D9" s="76">
        <f t="shared" si="0"/>
        <v>878000</v>
      </c>
      <c r="E9" s="76"/>
      <c r="F9" s="76"/>
      <c r="G9" s="77">
        <f t="shared" si="1"/>
        <v>878000</v>
      </c>
    </row>
    <row r="10" spans="1:7" x14ac:dyDescent="0.3">
      <c r="A10" s="101"/>
      <c r="B10" s="76"/>
      <c r="C10" s="76">
        <v>0</v>
      </c>
      <c r="D10" s="76">
        <f t="shared" si="0"/>
        <v>0</v>
      </c>
      <c r="E10" s="76"/>
      <c r="F10" s="76"/>
      <c r="G10" s="77">
        <f t="shared" si="1"/>
        <v>0</v>
      </c>
    </row>
    <row r="11" spans="1:7" x14ac:dyDescent="0.3">
      <c r="A11" s="101"/>
      <c r="B11" s="76"/>
      <c r="C11" s="76">
        <v>0</v>
      </c>
      <c r="D11" s="76">
        <f t="shared" si="0"/>
        <v>0</v>
      </c>
      <c r="E11" s="76"/>
      <c r="F11" s="76"/>
      <c r="G11" s="77">
        <f t="shared" si="1"/>
        <v>0</v>
      </c>
    </row>
    <row r="12" spans="1:7" x14ac:dyDescent="0.3">
      <c r="A12" s="82"/>
      <c r="B12" s="76"/>
      <c r="C12" s="76"/>
      <c r="D12" s="78">
        <f>SUM(D6:D11)</f>
        <v>2378000</v>
      </c>
      <c r="E12" s="78">
        <f>SUM(E6:E11)</f>
        <v>0</v>
      </c>
      <c r="F12" s="78"/>
      <c r="G12" s="78">
        <f>SUM(G6:G11)</f>
        <v>2378000</v>
      </c>
    </row>
    <row r="13" spans="1:7" x14ac:dyDescent="0.3">
      <c r="A13" s="78" t="s">
        <v>94</v>
      </c>
      <c r="C13" s="76"/>
      <c r="D13" s="76"/>
      <c r="E13" s="76"/>
      <c r="F13" s="76"/>
    </row>
    <row r="14" spans="1:7" x14ac:dyDescent="0.3">
      <c r="A14" s="82">
        <v>1</v>
      </c>
      <c r="B14" s="76" t="s">
        <v>136</v>
      </c>
      <c r="C14" s="76">
        <v>1200000</v>
      </c>
      <c r="D14" s="76">
        <f>A14*C14</f>
        <v>1200000</v>
      </c>
      <c r="E14" s="76"/>
      <c r="F14" s="76"/>
      <c r="G14" s="77">
        <f>+D14+E14+F14</f>
        <v>1200000</v>
      </c>
    </row>
    <row r="15" spans="1:7" x14ac:dyDescent="0.3">
      <c r="A15" s="82">
        <v>1</v>
      </c>
      <c r="B15" s="76" t="s">
        <v>75</v>
      </c>
      <c r="C15" s="76">
        <v>878000</v>
      </c>
      <c r="D15" s="76">
        <f>A15*C15</f>
        <v>878000</v>
      </c>
      <c r="E15" s="76"/>
      <c r="F15" s="76"/>
      <c r="G15" s="77">
        <f>+D15+E15+F15</f>
        <v>878000</v>
      </c>
    </row>
    <row r="16" spans="1:7" x14ac:dyDescent="0.3">
      <c r="A16" s="82"/>
      <c r="B16" s="76" t="s">
        <v>95</v>
      </c>
      <c r="C16" s="76">
        <v>0</v>
      </c>
      <c r="D16" s="76">
        <f>A16*C16</f>
        <v>0</v>
      </c>
      <c r="E16" s="76"/>
      <c r="F16" s="76"/>
      <c r="G16" s="77">
        <f>+D16+E16+F16</f>
        <v>0</v>
      </c>
    </row>
    <row r="17" spans="1:10" x14ac:dyDescent="0.3">
      <c r="A17" s="82"/>
      <c r="C17" s="76"/>
      <c r="D17" s="76"/>
      <c r="E17" s="76"/>
      <c r="F17" s="76"/>
    </row>
    <row r="18" spans="1:10" x14ac:dyDescent="0.3">
      <c r="A18" s="82"/>
      <c r="B18" s="76"/>
      <c r="C18" s="76"/>
      <c r="D18" s="76"/>
      <c r="E18" s="76"/>
      <c r="F18" s="76"/>
    </row>
    <row r="19" spans="1:10" x14ac:dyDescent="0.3">
      <c r="A19" s="82"/>
      <c r="B19" s="76"/>
      <c r="C19" s="76"/>
      <c r="D19" s="78">
        <f>SUM(D14:D17)</f>
        <v>2078000</v>
      </c>
      <c r="E19" s="78">
        <f>SUM(E14:E17)</f>
        <v>0</v>
      </c>
      <c r="F19" s="78"/>
      <c r="G19" s="78">
        <f>SUM(G14:G17)</f>
        <v>2078000</v>
      </c>
    </row>
    <row r="20" spans="1:10" x14ac:dyDescent="0.3">
      <c r="A20" s="82"/>
      <c r="B20" s="76"/>
      <c r="C20" s="76"/>
      <c r="D20" s="78"/>
      <c r="E20" s="78"/>
      <c r="F20" s="76"/>
    </row>
    <row r="21" spans="1:10" s="86" customFormat="1" ht="14" x14ac:dyDescent="0.3">
      <c r="A21" s="103" t="s">
        <v>122</v>
      </c>
      <c r="B21" s="103"/>
      <c r="C21" s="103"/>
      <c r="D21" s="103"/>
      <c r="E21" s="103"/>
      <c r="F21" s="103"/>
      <c r="G21" s="103"/>
      <c r="H21" s="87"/>
      <c r="I21" s="87"/>
      <c r="J21" s="85"/>
    </row>
    <row r="22" spans="1:10" s="86" customFormat="1" x14ac:dyDescent="0.3">
      <c r="A22" s="84" t="s">
        <v>123</v>
      </c>
      <c r="C22" s="79" t="s">
        <v>90</v>
      </c>
      <c r="D22" s="79" t="s">
        <v>91</v>
      </c>
      <c r="E22" s="79" t="s">
        <v>92</v>
      </c>
      <c r="F22" s="79"/>
      <c r="G22" s="79" t="s">
        <v>93</v>
      </c>
      <c r="H22" s="87"/>
      <c r="I22" s="87"/>
      <c r="J22" s="85"/>
    </row>
    <row r="23" spans="1:10" s="86" customFormat="1" x14ac:dyDescent="0.3">
      <c r="A23" s="88">
        <v>1</v>
      </c>
      <c r="B23" s="86" t="s">
        <v>115</v>
      </c>
      <c r="C23" s="85">
        <v>878000</v>
      </c>
      <c r="D23" s="76">
        <f>A23*C23</f>
        <v>878000</v>
      </c>
      <c r="E23" s="86">
        <v>200000</v>
      </c>
      <c r="F23" s="85"/>
      <c r="G23" s="77">
        <f t="shared" ref="G23:G30" si="2">+D23+E23+F23</f>
        <v>1078000</v>
      </c>
      <c r="H23" s="87"/>
      <c r="I23" s="87"/>
      <c r="J23" s="85"/>
    </row>
    <row r="24" spans="1:10" s="86" customFormat="1" x14ac:dyDescent="0.3">
      <c r="A24" s="88"/>
      <c r="B24" s="86" t="s">
        <v>125</v>
      </c>
      <c r="C24" s="85">
        <v>0</v>
      </c>
      <c r="D24" s="76">
        <f t="shared" ref="D24:D35" si="3">A24*C24</f>
        <v>0</v>
      </c>
      <c r="F24" s="85"/>
      <c r="G24" s="77">
        <f t="shared" si="2"/>
        <v>0</v>
      </c>
      <c r="H24" s="87"/>
      <c r="I24" s="89"/>
      <c r="J24" s="89"/>
    </row>
    <row r="25" spans="1:10" s="86" customFormat="1" x14ac:dyDescent="0.3">
      <c r="A25" s="88"/>
      <c r="B25" s="86" t="s">
        <v>124</v>
      </c>
      <c r="C25" s="85">
        <v>0</v>
      </c>
      <c r="D25" s="76">
        <f>A25*C25</f>
        <v>0</v>
      </c>
      <c r="F25" s="85"/>
      <c r="G25" s="77">
        <f t="shared" si="2"/>
        <v>0</v>
      </c>
      <c r="H25" s="87"/>
      <c r="I25" s="89"/>
      <c r="J25" s="89"/>
    </row>
    <row r="26" spans="1:10" s="86" customFormat="1" x14ac:dyDescent="0.3">
      <c r="A26" s="88"/>
      <c r="B26" s="86" t="s">
        <v>126</v>
      </c>
      <c r="C26" s="85">
        <v>0</v>
      </c>
      <c r="D26" s="76">
        <f t="shared" si="3"/>
        <v>0</v>
      </c>
      <c r="G26" s="77">
        <f t="shared" si="2"/>
        <v>0</v>
      </c>
      <c r="H26" s="87"/>
      <c r="I26" s="89"/>
      <c r="J26" s="89"/>
    </row>
    <row r="27" spans="1:10" s="86" customFormat="1" x14ac:dyDescent="0.3">
      <c r="A27" s="88"/>
      <c r="B27" s="86" t="s">
        <v>127</v>
      </c>
      <c r="C27" s="85">
        <v>0</v>
      </c>
      <c r="D27" s="76">
        <f t="shared" si="3"/>
        <v>0</v>
      </c>
      <c r="G27" s="77">
        <f t="shared" si="2"/>
        <v>0</v>
      </c>
      <c r="H27" s="87"/>
      <c r="I27" s="89"/>
      <c r="J27" s="89"/>
    </row>
    <row r="28" spans="1:10" s="86" customFormat="1" x14ac:dyDescent="0.3">
      <c r="A28" s="88">
        <v>2</v>
      </c>
      <c r="B28" s="86" t="s">
        <v>130</v>
      </c>
      <c r="C28" s="85">
        <v>878000</v>
      </c>
      <c r="D28" s="76">
        <f t="shared" si="3"/>
        <v>1756000</v>
      </c>
      <c r="G28" s="77">
        <f t="shared" si="2"/>
        <v>1756000</v>
      </c>
      <c r="H28" s="87"/>
      <c r="I28" s="89"/>
      <c r="J28" s="89"/>
    </row>
    <row r="29" spans="1:10" s="86" customFormat="1" x14ac:dyDescent="0.3">
      <c r="A29" s="88"/>
      <c r="B29" s="86" t="s">
        <v>129</v>
      </c>
      <c r="C29" s="85">
        <v>0</v>
      </c>
      <c r="D29" s="76">
        <f t="shared" si="3"/>
        <v>0</v>
      </c>
      <c r="G29" s="77">
        <f t="shared" si="2"/>
        <v>0</v>
      </c>
      <c r="H29" s="87"/>
      <c r="I29" s="89"/>
      <c r="J29" s="89"/>
    </row>
    <row r="30" spans="1:10" s="86" customFormat="1" x14ac:dyDescent="0.3">
      <c r="A30" s="88">
        <v>2</v>
      </c>
      <c r="B30" s="86" t="s">
        <v>128</v>
      </c>
      <c r="C30" s="85">
        <v>878000</v>
      </c>
      <c r="D30" s="76">
        <f t="shared" si="3"/>
        <v>1756000</v>
      </c>
      <c r="G30" s="77">
        <f t="shared" si="2"/>
        <v>1756000</v>
      </c>
      <c r="H30" s="87"/>
      <c r="I30" s="89"/>
      <c r="J30" s="89"/>
    </row>
    <row r="31" spans="1:10" s="86" customFormat="1" x14ac:dyDescent="0.3">
      <c r="A31" s="84" t="s">
        <v>113</v>
      </c>
      <c r="D31" s="85"/>
      <c r="F31" s="85"/>
      <c r="G31" s="77"/>
      <c r="H31" s="87"/>
      <c r="I31" s="89"/>
      <c r="J31" s="89"/>
    </row>
    <row r="32" spans="1:10" s="86" customFormat="1" x14ac:dyDescent="0.3">
      <c r="A32" s="88">
        <v>1</v>
      </c>
      <c r="B32" s="86" t="s">
        <v>98</v>
      </c>
      <c r="C32" s="85">
        <v>1100000</v>
      </c>
      <c r="D32" s="76">
        <f t="shared" si="3"/>
        <v>1100000</v>
      </c>
      <c r="E32" s="85"/>
      <c r="G32" s="77">
        <f>+D32+E32+F32</f>
        <v>1100000</v>
      </c>
      <c r="H32" s="87"/>
      <c r="I32" s="89"/>
      <c r="J32" s="89"/>
    </row>
    <row r="33" spans="1:10" s="86" customFormat="1" x14ac:dyDescent="0.3">
      <c r="A33" s="88">
        <v>1</v>
      </c>
      <c r="B33" s="86" t="s">
        <v>97</v>
      </c>
      <c r="C33" s="85">
        <v>1100000</v>
      </c>
      <c r="D33" s="76">
        <f t="shared" si="3"/>
        <v>1100000</v>
      </c>
      <c r="E33" s="85"/>
      <c r="G33" s="77">
        <f>+D33+E33+F33</f>
        <v>1100000</v>
      </c>
      <c r="H33" s="87"/>
      <c r="I33" s="89"/>
      <c r="J33" s="89"/>
    </row>
    <row r="34" spans="1:10" s="86" customFormat="1" x14ac:dyDescent="0.3">
      <c r="A34" s="88"/>
      <c r="B34" s="86" t="s">
        <v>131</v>
      </c>
      <c r="C34" s="85">
        <v>0</v>
      </c>
      <c r="D34" s="76">
        <f t="shared" si="3"/>
        <v>0</v>
      </c>
      <c r="E34" s="85"/>
      <c r="G34" s="77">
        <f>+D34+E34+F34</f>
        <v>0</v>
      </c>
      <c r="H34" s="87"/>
      <c r="I34" s="89"/>
      <c r="J34" s="89"/>
    </row>
    <row r="35" spans="1:10" s="86" customFormat="1" x14ac:dyDescent="0.3">
      <c r="A35" s="88">
        <v>1</v>
      </c>
      <c r="B35" s="86" t="s">
        <v>96</v>
      </c>
      <c r="C35" s="85">
        <v>878000</v>
      </c>
      <c r="D35" s="76">
        <f t="shared" si="3"/>
        <v>878000</v>
      </c>
      <c r="E35" s="85"/>
      <c r="G35" s="77">
        <f>+D35+E35+F35</f>
        <v>878000</v>
      </c>
      <c r="H35" s="87"/>
      <c r="I35" s="89"/>
      <c r="J35" s="89"/>
    </row>
    <row r="36" spans="1:10" x14ac:dyDescent="0.3">
      <c r="A36" s="84" t="s">
        <v>114</v>
      </c>
      <c r="B36" s="76"/>
      <c r="C36" s="76"/>
      <c r="D36" s="78"/>
      <c r="E36" s="78"/>
      <c r="F36" s="76"/>
    </row>
    <row r="37" spans="1:10" x14ac:dyDescent="0.3">
      <c r="A37" s="88"/>
      <c r="B37" s="86" t="s">
        <v>88</v>
      </c>
      <c r="C37" s="85">
        <v>0</v>
      </c>
      <c r="D37" s="76">
        <f t="shared" ref="D37:D42" si="4">A37*C37</f>
        <v>0</v>
      </c>
      <c r="E37" s="85"/>
      <c r="F37" s="86"/>
      <c r="G37" s="77">
        <f t="shared" ref="G37:G42" si="5">+D37+E37+F37</f>
        <v>0</v>
      </c>
    </row>
    <row r="38" spans="1:10" x14ac:dyDescent="0.3">
      <c r="A38" s="88"/>
      <c r="B38" s="86" t="s">
        <v>132</v>
      </c>
      <c r="C38" s="85">
        <v>0</v>
      </c>
      <c r="D38" s="76">
        <f t="shared" si="4"/>
        <v>0</v>
      </c>
      <c r="E38" s="85"/>
      <c r="F38" s="86"/>
      <c r="G38" s="77">
        <f t="shared" si="5"/>
        <v>0</v>
      </c>
    </row>
    <row r="39" spans="1:10" s="86" customFormat="1" x14ac:dyDescent="0.3">
      <c r="A39" s="88"/>
      <c r="B39" s="86" t="s">
        <v>120</v>
      </c>
      <c r="C39" s="85">
        <v>0</v>
      </c>
      <c r="D39" s="76">
        <f t="shared" si="4"/>
        <v>0</v>
      </c>
      <c r="E39" s="85"/>
      <c r="G39" s="77">
        <f t="shared" si="5"/>
        <v>0</v>
      </c>
      <c r="H39" s="87"/>
      <c r="I39" s="89"/>
      <c r="J39" s="89"/>
    </row>
    <row r="40" spans="1:10" s="86" customFormat="1" x14ac:dyDescent="0.3">
      <c r="A40" s="88"/>
      <c r="B40" s="86" t="s">
        <v>133</v>
      </c>
      <c r="C40" s="85">
        <v>0</v>
      </c>
      <c r="D40" s="76">
        <f t="shared" si="4"/>
        <v>0</v>
      </c>
      <c r="E40" s="85"/>
      <c r="G40" s="77">
        <f t="shared" si="5"/>
        <v>0</v>
      </c>
      <c r="H40" s="87"/>
      <c r="I40" s="89"/>
      <c r="J40" s="89"/>
    </row>
    <row r="41" spans="1:10" s="86" customFormat="1" x14ac:dyDescent="0.3">
      <c r="A41" s="88">
        <v>2</v>
      </c>
      <c r="B41" s="86" t="s">
        <v>87</v>
      </c>
      <c r="C41" s="85">
        <v>1000000</v>
      </c>
      <c r="D41" s="76">
        <f t="shared" si="4"/>
        <v>2000000</v>
      </c>
      <c r="E41" s="85"/>
      <c r="G41" s="77">
        <f t="shared" si="5"/>
        <v>2000000</v>
      </c>
      <c r="H41" s="87"/>
      <c r="I41" s="89"/>
      <c r="J41" s="89"/>
    </row>
    <row r="42" spans="1:10" s="86" customFormat="1" x14ac:dyDescent="0.3">
      <c r="A42" s="88">
        <v>2</v>
      </c>
      <c r="B42" s="86" t="s">
        <v>99</v>
      </c>
      <c r="C42" s="85">
        <v>878000</v>
      </c>
      <c r="D42" s="76">
        <f t="shared" si="4"/>
        <v>1756000</v>
      </c>
      <c r="E42" s="85"/>
      <c r="G42" s="77">
        <f t="shared" si="5"/>
        <v>1756000</v>
      </c>
      <c r="H42" s="87"/>
      <c r="I42" s="89"/>
      <c r="J42" s="89"/>
    </row>
    <row r="43" spans="1:10" s="86" customFormat="1" x14ac:dyDescent="0.3">
      <c r="A43" s="88"/>
      <c r="C43" s="85"/>
      <c r="D43" s="78">
        <f>SUM(D23:D42)</f>
        <v>11224000</v>
      </c>
      <c r="E43" s="85"/>
      <c r="G43" s="77"/>
      <c r="H43" s="87"/>
      <c r="I43" s="89"/>
      <c r="J43" s="89"/>
    </row>
    <row r="44" spans="1:10" s="86" customFormat="1" x14ac:dyDescent="0.3">
      <c r="A44" s="117">
        <f>+IF(C6&gt;E63,0,A6)+IF(C7&gt;E63,0,A7)+IF(C8&gt;E63,0,A8)+IF(C9&gt;E63,0,A9)+IF(C14&gt;E63,0,A14)+IF(C15&gt;E63,0,A15)+IF(C16&gt;E63,0,A16)+IF(C23&gt;E63,0,A23)+IF(C24&gt;E63,0,A24)+IF(C25&gt;E63,0,A25)+IF(C26&gt;E63,0,A26)+IF(C27&gt;E63,0,A27)+IF(C28&gt;E63,0,A28)+IF(C29&gt;E63,0,A29)+IF(C30&gt;E63,0,A30)+IF(C32&gt;E63,0,A32)+IF(C33&gt;E63,0,A33)+IF(C34&gt;E63,0,A34)+IF(C35&gt;E63,0,A35)+IF(C37&gt;E63,0,A37)+IF(C38&gt;E63,0,A38)+IF(C39&gt;E63,0,A39)+IF(C40&gt;E63,0,A40)+IF(C41&gt;E63,0,A41)+IF(C42&gt;E63,0,A42)</f>
        <v>16</v>
      </c>
      <c r="B44" s="118" t="s">
        <v>146</v>
      </c>
      <c r="C44" s="85"/>
      <c r="E44" s="85"/>
      <c r="G44" s="77"/>
      <c r="H44" s="87"/>
      <c r="I44" s="89"/>
      <c r="J44" s="89"/>
    </row>
    <row r="45" spans="1:10" x14ac:dyDescent="0.3">
      <c r="A45" s="117">
        <f>SUM(A6:A42)</f>
        <v>16</v>
      </c>
      <c r="B45" s="78" t="s">
        <v>147</v>
      </c>
      <c r="C45" s="76"/>
      <c r="D45" s="78"/>
      <c r="E45" s="77"/>
      <c r="F45" s="78"/>
      <c r="G45" s="78"/>
    </row>
    <row r="46" spans="1:10" x14ac:dyDescent="0.3">
      <c r="A46" s="77"/>
      <c r="B46" s="78" t="s">
        <v>148</v>
      </c>
      <c r="C46" s="76"/>
      <c r="D46" s="78">
        <f>+D43+D19+D12</f>
        <v>15680000</v>
      </c>
      <c r="E46" s="78">
        <f>SUM(E23:E43)</f>
        <v>200000</v>
      </c>
      <c r="F46" s="76"/>
    </row>
    <row r="47" spans="1:10" x14ac:dyDescent="0.3">
      <c r="A47" s="82"/>
      <c r="B47" s="76"/>
      <c r="C47" s="76"/>
      <c r="D47" s="76"/>
      <c r="E47" s="76"/>
      <c r="F47" s="76"/>
    </row>
    <row r="48" spans="1:10" x14ac:dyDescent="0.3">
      <c r="A48" s="77"/>
      <c r="B48" s="77"/>
      <c r="C48" s="76"/>
      <c r="D48" s="78"/>
      <c r="E48" s="78"/>
      <c r="F48" s="78">
        <f>+F45+F19+F12</f>
        <v>0</v>
      </c>
    </row>
    <row r="49" spans="1:7" x14ac:dyDescent="0.3">
      <c r="A49" s="82"/>
      <c r="B49" s="76"/>
      <c r="C49" s="76"/>
      <c r="D49" s="76"/>
      <c r="E49" s="76"/>
      <c r="F49" s="76"/>
    </row>
    <row r="50" spans="1:7" x14ac:dyDescent="0.3">
      <c r="B50" s="80" t="s">
        <v>116</v>
      </c>
      <c r="D50" s="119">
        <v>0.05</v>
      </c>
      <c r="E50" s="80" t="s">
        <v>119</v>
      </c>
    </row>
    <row r="51" spans="1:7" x14ac:dyDescent="0.3">
      <c r="A51" s="83">
        <v>1</v>
      </c>
      <c r="B51" s="80" t="s">
        <v>139</v>
      </c>
      <c r="D51" s="80">
        <f>6000000*1.19</f>
        <v>7140000</v>
      </c>
      <c r="E51" s="80" t="s">
        <v>134</v>
      </c>
    </row>
    <row r="52" spans="1:7" x14ac:dyDescent="0.3">
      <c r="B52" s="80" t="s">
        <v>70</v>
      </c>
      <c r="D52" s="80">
        <v>400000</v>
      </c>
      <c r="G52" s="80"/>
    </row>
    <row r="53" spans="1:7" x14ac:dyDescent="0.3">
      <c r="B53" s="76" t="s">
        <v>69</v>
      </c>
      <c r="D53" s="80">
        <v>1000000</v>
      </c>
      <c r="G53" s="80"/>
    </row>
    <row r="54" spans="1:7" x14ac:dyDescent="0.3">
      <c r="B54" s="76" t="s">
        <v>71</v>
      </c>
      <c r="D54" s="80">
        <v>800000</v>
      </c>
      <c r="G54" s="80"/>
    </row>
    <row r="55" spans="1:7" x14ac:dyDescent="0.3">
      <c r="B55" s="76" t="s">
        <v>72</v>
      </c>
      <c r="D55" s="80">
        <v>300000</v>
      </c>
      <c r="G55" s="80"/>
    </row>
    <row r="56" spans="1:7" x14ac:dyDescent="0.3">
      <c r="B56" s="76" t="s">
        <v>73</v>
      </c>
      <c r="D56" s="80">
        <v>800000</v>
      </c>
      <c r="G56" s="80"/>
    </row>
    <row r="57" spans="1:7" x14ac:dyDescent="0.3">
      <c r="B57" s="76" t="s">
        <v>74</v>
      </c>
      <c r="D57" s="80">
        <v>700000</v>
      </c>
      <c r="G57" s="80"/>
    </row>
    <row r="58" spans="1:7" x14ac:dyDescent="0.3">
      <c r="B58" s="76" t="s">
        <v>75</v>
      </c>
      <c r="D58" s="80">
        <v>750000</v>
      </c>
      <c r="G58" s="80"/>
    </row>
    <row r="59" spans="1:7" x14ac:dyDescent="0.3">
      <c r="B59" s="76" t="s">
        <v>76</v>
      </c>
      <c r="D59" s="80">
        <v>600000</v>
      </c>
      <c r="G59" s="80"/>
    </row>
    <row r="60" spans="1:7" x14ac:dyDescent="0.3">
      <c r="B60" s="76" t="s">
        <v>77</v>
      </c>
      <c r="D60" s="80">
        <v>1200000</v>
      </c>
      <c r="G60" s="80"/>
    </row>
    <row r="61" spans="1:7" x14ac:dyDescent="0.3">
      <c r="B61" s="76" t="s">
        <v>78</v>
      </c>
      <c r="D61" s="80">
        <v>1200000</v>
      </c>
      <c r="G61" s="80"/>
    </row>
    <row r="62" spans="1:7" ht="14" thickBot="1" x14ac:dyDescent="0.35"/>
    <row r="63" spans="1:7" ht="14" thickTop="1" x14ac:dyDescent="0.3">
      <c r="B63" s="120" t="s">
        <v>144</v>
      </c>
      <c r="C63" s="121"/>
      <c r="D63" s="122">
        <v>877802</v>
      </c>
      <c r="E63" s="116">
        <f>+D63*2</f>
        <v>1755604</v>
      </c>
    </row>
    <row r="64" spans="1:7" ht="14" thickBot="1" x14ac:dyDescent="0.35">
      <c r="B64" s="123" t="s">
        <v>145</v>
      </c>
      <c r="C64" s="124"/>
      <c r="D64" s="125">
        <v>102854</v>
      </c>
    </row>
    <row r="65" ht="14" thickTop="1" x14ac:dyDescent="0.3"/>
  </sheetData>
  <mergeCells count="3">
    <mergeCell ref="A21:G21"/>
    <mergeCell ref="A3:G3"/>
    <mergeCell ref="A1:B1"/>
  </mergeCells>
  <phoneticPr fontId="2" type="noConversion"/>
  <pageMargins left="0.75" right="0.75" top="1" bottom="1" header="0" footer="0"/>
  <pageSetup paperSize="9" orientation="portrait" horizontalDpi="4294967293" vertic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4"/>
  <sheetViews>
    <sheetView showGridLines="0" zoomScaleNormal="100" workbookViewId="0">
      <selection activeCell="C9" sqref="C9"/>
    </sheetView>
  </sheetViews>
  <sheetFormatPr baseColWidth="10" defaultColWidth="11.453125" defaultRowHeight="10" x14ac:dyDescent="0.2"/>
  <cols>
    <col min="1" max="1" width="17.453125" style="30" bestFit="1" customWidth="1"/>
    <col min="2" max="2" width="5.1796875" style="30" customWidth="1"/>
    <col min="3" max="3" width="9.1796875" style="30" bestFit="1" customWidth="1"/>
    <col min="4" max="4" width="3" style="30" hidden="1" customWidth="1"/>
    <col min="5" max="5" width="11.08984375" style="30" customWidth="1"/>
    <col min="6" max="6" width="3" style="30" hidden="1" customWidth="1"/>
    <col min="7" max="7" width="10.08984375" style="30" bestFit="1" customWidth="1"/>
    <col min="8" max="8" width="3" style="30" hidden="1" customWidth="1"/>
    <col min="9" max="9" width="10.08984375" style="30" bestFit="1" customWidth="1"/>
    <col min="10" max="10" width="3" style="30" hidden="1" customWidth="1"/>
    <col min="11" max="11" width="10.08984375" style="30" bestFit="1" customWidth="1"/>
    <col min="12" max="12" width="3" style="30" hidden="1" customWidth="1"/>
    <col min="13" max="13" width="10.08984375" style="30" bestFit="1" customWidth="1"/>
    <col min="14" max="14" width="3" style="30" hidden="1" customWidth="1"/>
    <col min="15" max="15" width="10.08984375" style="30" bestFit="1" customWidth="1"/>
    <col min="16" max="16" width="3" style="30" hidden="1" customWidth="1"/>
    <col min="17" max="17" width="10.08984375" style="30" bestFit="1" customWidth="1"/>
    <col min="18" max="18" width="3" style="30" hidden="1" customWidth="1"/>
    <col min="19" max="19" width="10.08984375" style="30" bestFit="1" customWidth="1"/>
    <col min="20" max="20" width="3" style="30" hidden="1" customWidth="1"/>
    <col min="21" max="21" width="10.08984375" style="30" bestFit="1" customWidth="1"/>
    <col min="22" max="22" width="3" style="30" hidden="1" customWidth="1"/>
    <col min="23" max="23" width="10.08984375" style="30" bestFit="1" customWidth="1"/>
    <col min="24" max="24" width="3" style="30" hidden="1" customWidth="1"/>
    <col min="25" max="25" width="10.08984375" style="30" bestFit="1" customWidth="1"/>
    <col min="26" max="26" width="3" style="30" hidden="1" customWidth="1"/>
    <col min="27" max="27" width="10.08984375" style="30" bestFit="1" customWidth="1"/>
    <col min="28" max="28" width="0" style="30" hidden="1" customWidth="1"/>
    <col min="29" max="16384" width="11.453125" style="30"/>
  </cols>
  <sheetData>
    <row r="1" spans="1:29" ht="13.5" x14ac:dyDescent="0.2">
      <c r="A1" s="115" t="str">
        <f>+Nómina!C1</f>
        <v>Restaurante de Prueba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</row>
    <row r="2" spans="1:29" x14ac:dyDescent="0.2">
      <c r="A2" s="105" t="s">
        <v>117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</row>
    <row r="3" spans="1:29" ht="20" x14ac:dyDescent="0.2">
      <c r="A3" s="39" t="s">
        <v>64</v>
      </c>
      <c r="B3" s="39"/>
      <c r="C3" s="31" t="s">
        <v>65</v>
      </c>
      <c r="D3" s="105" t="s">
        <v>48</v>
      </c>
      <c r="E3" s="105"/>
      <c r="F3" s="105" t="s">
        <v>49</v>
      </c>
      <c r="G3" s="105"/>
      <c r="H3" s="105" t="s">
        <v>50</v>
      </c>
      <c r="I3" s="105"/>
      <c r="J3" s="105" t="s">
        <v>51</v>
      </c>
      <c r="K3" s="105"/>
      <c r="L3" s="105" t="s">
        <v>52</v>
      </c>
      <c r="M3" s="105"/>
      <c r="N3" s="105" t="s">
        <v>53</v>
      </c>
      <c r="O3" s="105"/>
      <c r="P3" s="105" t="s">
        <v>54</v>
      </c>
      <c r="Q3" s="105"/>
      <c r="R3" s="105" t="s">
        <v>55</v>
      </c>
      <c r="S3" s="105"/>
      <c r="T3" s="105" t="s">
        <v>56</v>
      </c>
      <c r="U3" s="105"/>
      <c r="V3" s="105" t="s">
        <v>57</v>
      </c>
      <c r="W3" s="105"/>
      <c r="X3" s="105" t="s">
        <v>58</v>
      </c>
      <c r="Y3" s="105"/>
      <c r="Z3" s="105" t="s">
        <v>59</v>
      </c>
      <c r="AA3" s="105"/>
      <c r="AB3" s="32" t="s">
        <v>2</v>
      </c>
    </row>
    <row r="4" spans="1:29" x14ac:dyDescent="0.2">
      <c r="A4" s="33" t="s">
        <v>80</v>
      </c>
      <c r="B4" s="34"/>
      <c r="C4" s="34">
        <v>2000000</v>
      </c>
      <c r="D4" s="35">
        <v>4</v>
      </c>
      <c r="E4" s="36">
        <f>$C4*D4</f>
        <v>8000000</v>
      </c>
      <c r="F4" s="35">
        <v>4</v>
      </c>
      <c r="G4" s="36">
        <f>$C4*F4</f>
        <v>8000000</v>
      </c>
      <c r="H4" s="35">
        <v>5</v>
      </c>
      <c r="I4" s="36">
        <f>$C4*H4</f>
        <v>10000000</v>
      </c>
      <c r="J4" s="35">
        <v>4</v>
      </c>
      <c r="K4" s="36">
        <f>$C4*J4</f>
        <v>8000000</v>
      </c>
      <c r="L4" s="35">
        <v>5</v>
      </c>
      <c r="M4" s="36">
        <f>$C4*L4</f>
        <v>10000000</v>
      </c>
      <c r="N4" s="35">
        <v>4</v>
      </c>
      <c r="O4" s="36">
        <f>$C4*N4</f>
        <v>8000000</v>
      </c>
      <c r="P4" s="35">
        <v>5</v>
      </c>
      <c r="Q4" s="36">
        <f>$C4*P4</f>
        <v>10000000</v>
      </c>
      <c r="R4" s="35">
        <v>5</v>
      </c>
      <c r="S4" s="36">
        <f>$C4*R4</f>
        <v>10000000</v>
      </c>
      <c r="T4" s="35">
        <v>4</v>
      </c>
      <c r="U4" s="36">
        <f>$C4*T4</f>
        <v>8000000</v>
      </c>
      <c r="V4" s="35">
        <v>4</v>
      </c>
      <c r="W4" s="36">
        <f>$C4*V4</f>
        <v>8000000</v>
      </c>
      <c r="X4" s="35">
        <v>5</v>
      </c>
      <c r="Y4" s="36">
        <f>$C4*X4</f>
        <v>10000000</v>
      </c>
      <c r="Z4" s="35">
        <v>4</v>
      </c>
      <c r="AA4" s="36">
        <f>($C4*Z4)*1</f>
        <v>8000000</v>
      </c>
      <c r="AB4" s="34">
        <f t="shared" ref="AB4:AB11" si="0">SUM(D4:Z4)</f>
        <v>98000053</v>
      </c>
    </row>
    <row r="5" spans="1:29" x14ac:dyDescent="0.2">
      <c r="A5" s="33" t="s">
        <v>81</v>
      </c>
      <c r="B5" s="34"/>
      <c r="C5" s="34">
        <v>2500000</v>
      </c>
      <c r="D5" s="35">
        <v>4</v>
      </c>
      <c r="E5" s="36">
        <f>$C5*D5</f>
        <v>10000000</v>
      </c>
      <c r="F5" s="35">
        <v>4</v>
      </c>
      <c r="G5" s="36">
        <f>$C5*F5</f>
        <v>10000000</v>
      </c>
      <c r="H5" s="35">
        <v>5</v>
      </c>
      <c r="I5" s="36">
        <f>$C5*H5</f>
        <v>12500000</v>
      </c>
      <c r="J5" s="35">
        <v>4</v>
      </c>
      <c r="K5" s="36">
        <f>$C5*J5</f>
        <v>10000000</v>
      </c>
      <c r="L5" s="35">
        <v>4</v>
      </c>
      <c r="M5" s="36">
        <f>$C5*L5</f>
        <v>10000000</v>
      </c>
      <c r="N5" s="35">
        <v>5</v>
      </c>
      <c r="O5" s="36">
        <f>$C5*N5</f>
        <v>12500000</v>
      </c>
      <c r="P5" s="35">
        <v>5</v>
      </c>
      <c r="Q5" s="36">
        <f>$C5*P5</f>
        <v>12500000</v>
      </c>
      <c r="R5" s="35">
        <v>5</v>
      </c>
      <c r="S5" s="36">
        <f>$C5*R5</f>
        <v>12500000</v>
      </c>
      <c r="T5" s="35">
        <v>4</v>
      </c>
      <c r="U5" s="36">
        <f>$C5*T5</f>
        <v>10000000</v>
      </c>
      <c r="V5" s="35">
        <v>4</v>
      </c>
      <c r="W5" s="36">
        <f>$C5*V5</f>
        <v>10000000</v>
      </c>
      <c r="X5" s="35">
        <v>5</v>
      </c>
      <c r="Y5" s="36">
        <f>$C5*X5</f>
        <v>12500000</v>
      </c>
      <c r="Z5" s="35">
        <v>4</v>
      </c>
      <c r="AA5" s="36">
        <f>($C5*Z5)*1</f>
        <v>10000000</v>
      </c>
      <c r="AB5" s="34">
        <f t="shared" si="0"/>
        <v>122500053</v>
      </c>
    </row>
    <row r="6" spans="1:29" x14ac:dyDescent="0.2">
      <c r="A6" s="33" t="s">
        <v>82</v>
      </c>
      <c r="B6" s="34"/>
      <c r="C6" s="34">
        <v>3000000</v>
      </c>
      <c r="D6" s="35">
        <v>4</v>
      </c>
      <c r="E6" s="36">
        <f>$C6*D6</f>
        <v>12000000</v>
      </c>
      <c r="F6" s="35">
        <v>4</v>
      </c>
      <c r="G6" s="36">
        <f>$C6*F6</f>
        <v>12000000</v>
      </c>
      <c r="H6" s="35">
        <v>5</v>
      </c>
      <c r="I6" s="36">
        <f>$C6*H6</f>
        <v>15000000</v>
      </c>
      <c r="J6" s="35">
        <v>4</v>
      </c>
      <c r="K6" s="36">
        <f>$C6*J6</f>
        <v>12000000</v>
      </c>
      <c r="L6" s="35">
        <v>4</v>
      </c>
      <c r="M6" s="36">
        <f>$C6*L6</f>
        <v>12000000</v>
      </c>
      <c r="N6" s="35">
        <v>5</v>
      </c>
      <c r="O6" s="36">
        <f>$C6*N6</f>
        <v>15000000</v>
      </c>
      <c r="P6" s="35">
        <v>4</v>
      </c>
      <c r="Q6" s="36">
        <f>$C6*P6</f>
        <v>12000000</v>
      </c>
      <c r="R6" s="35">
        <v>4</v>
      </c>
      <c r="S6" s="36">
        <f>$C6*R6</f>
        <v>12000000</v>
      </c>
      <c r="T6" s="35">
        <v>5</v>
      </c>
      <c r="U6" s="36">
        <f>$C6*T6</f>
        <v>15000000</v>
      </c>
      <c r="V6" s="35">
        <v>4</v>
      </c>
      <c r="W6" s="36">
        <f>$C6*V6</f>
        <v>12000000</v>
      </c>
      <c r="X6" s="35">
        <v>4</v>
      </c>
      <c r="Y6" s="36">
        <f>$C6*X6</f>
        <v>12000000</v>
      </c>
      <c r="Z6" s="35">
        <v>5</v>
      </c>
      <c r="AA6" s="36">
        <f>($C6*Z6)*1.2</f>
        <v>18000000</v>
      </c>
      <c r="AB6" s="34">
        <f t="shared" si="0"/>
        <v>141000052</v>
      </c>
    </row>
    <row r="7" spans="1:29" x14ac:dyDescent="0.2">
      <c r="A7" s="33" t="s">
        <v>83</v>
      </c>
      <c r="B7" s="34"/>
      <c r="C7" s="34">
        <v>3200000</v>
      </c>
      <c r="D7" s="35">
        <v>5</v>
      </c>
      <c r="E7" s="36">
        <f>$C$7*D7</f>
        <v>16000000</v>
      </c>
      <c r="F7" s="35">
        <v>4</v>
      </c>
      <c r="G7" s="36">
        <f>$C$7*F7</f>
        <v>12800000</v>
      </c>
      <c r="H7" s="35">
        <v>4</v>
      </c>
      <c r="I7" s="36">
        <f>$C$7*H7</f>
        <v>12800000</v>
      </c>
      <c r="J7" s="35">
        <v>5</v>
      </c>
      <c r="K7" s="36">
        <f>$C$7*J7</f>
        <v>16000000</v>
      </c>
      <c r="L7" s="35">
        <v>4</v>
      </c>
      <c r="M7" s="36">
        <f>$C$7*L7</f>
        <v>12800000</v>
      </c>
      <c r="N7" s="35">
        <v>4</v>
      </c>
      <c r="O7" s="36">
        <f>$C$7*N7</f>
        <v>12800000</v>
      </c>
      <c r="P7" s="35">
        <v>4</v>
      </c>
      <c r="Q7" s="36">
        <f>$C$7*P7</f>
        <v>12800000</v>
      </c>
      <c r="R7" s="35">
        <v>4</v>
      </c>
      <c r="S7" s="36">
        <f>$C$7*R7</f>
        <v>12800000</v>
      </c>
      <c r="T7" s="35">
        <v>5</v>
      </c>
      <c r="U7" s="36">
        <f>$C$7*T7</f>
        <v>16000000</v>
      </c>
      <c r="V7" s="35">
        <v>4</v>
      </c>
      <c r="W7" s="36">
        <f>$C$7*V7</f>
        <v>12800000</v>
      </c>
      <c r="X7" s="35">
        <v>4</v>
      </c>
      <c r="Y7" s="36">
        <f>$C$7*X7</f>
        <v>12800000</v>
      </c>
      <c r="Z7" s="35">
        <v>5</v>
      </c>
      <c r="AA7" s="36">
        <f>$C$7*Z7</f>
        <v>16000000</v>
      </c>
      <c r="AB7" s="34">
        <f t="shared" si="0"/>
        <v>150400052</v>
      </c>
    </row>
    <row r="8" spans="1:29" x14ac:dyDescent="0.2">
      <c r="A8" s="33" t="s">
        <v>84</v>
      </c>
      <c r="B8" s="34"/>
      <c r="C8" s="34">
        <v>4260000</v>
      </c>
      <c r="D8" s="35">
        <v>4</v>
      </c>
      <c r="E8" s="36">
        <f>$C8*D8</f>
        <v>17040000</v>
      </c>
      <c r="F8" s="35">
        <v>4</v>
      </c>
      <c r="G8" s="36">
        <f>$C8*F8</f>
        <v>17040000</v>
      </c>
      <c r="H8" s="35">
        <v>4</v>
      </c>
      <c r="I8" s="36">
        <f>$C8*H8</f>
        <v>17040000</v>
      </c>
      <c r="J8" s="35">
        <v>5</v>
      </c>
      <c r="K8" s="36">
        <f>$C8*J8</f>
        <v>21300000</v>
      </c>
      <c r="L8" s="35">
        <v>4</v>
      </c>
      <c r="M8" s="36">
        <f>$C8*L8</f>
        <v>17040000</v>
      </c>
      <c r="N8" s="35">
        <v>4</v>
      </c>
      <c r="O8" s="36">
        <f>$C8*N8</f>
        <v>17040000</v>
      </c>
      <c r="P8" s="35">
        <v>4</v>
      </c>
      <c r="Q8" s="36">
        <f>$C8*P8</f>
        <v>17040000</v>
      </c>
      <c r="R8" s="35">
        <v>4</v>
      </c>
      <c r="S8" s="36">
        <f>$C8*R8</f>
        <v>17040000</v>
      </c>
      <c r="T8" s="35">
        <v>4</v>
      </c>
      <c r="U8" s="36">
        <f>$C8*T8</f>
        <v>17040000</v>
      </c>
      <c r="V8" s="35">
        <v>5</v>
      </c>
      <c r="W8" s="36">
        <f>$C8*V8</f>
        <v>21300000</v>
      </c>
      <c r="X8" s="35">
        <v>4</v>
      </c>
      <c r="Y8" s="36">
        <f>$C8*X8</f>
        <v>17040000</v>
      </c>
      <c r="Z8" s="35">
        <v>4</v>
      </c>
      <c r="AA8" s="36">
        <f>($C8*Z8)*1</f>
        <v>17040000</v>
      </c>
      <c r="AB8" s="34">
        <f t="shared" si="0"/>
        <v>195960050</v>
      </c>
    </row>
    <row r="9" spans="1:29" x14ac:dyDescent="0.2">
      <c r="A9" s="33" t="s">
        <v>85</v>
      </c>
      <c r="B9" s="34"/>
      <c r="C9" s="34">
        <v>5000000</v>
      </c>
      <c r="D9" s="35">
        <v>5</v>
      </c>
      <c r="E9" s="36">
        <f>$C9*D9</f>
        <v>25000000</v>
      </c>
      <c r="F9" s="35">
        <v>4</v>
      </c>
      <c r="G9" s="36">
        <f>$C9*F9</f>
        <v>20000000</v>
      </c>
      <c r="H9" s="35">
        <v>4</v>
      </c>
      <c r="I9" s="36">
        <f>$C9*H9</f>
        <v>20000000</v>
      </c>
      <c r="J9" s="35">
        <v>4</v>
      </c>
      <c r="K9" s="36">
        <f>$C9*J9</f>
        <v>20000000</v>
      </c>
      <c r="L9" s="35">
        <v>5</v>
      </c>
      <c r="M9" s="36">
        <f>$C9*L9</f>
        <v>25000000</v>
      </c>
      <c r="N9" s="35">
        <v>4</v>
      </c>
      <c r="O9" s="36">
        <f>$C9*N9</f>
        <v>20000000</v>
      </c>
      <c r="P9" s="35">
        <v>4</v>
      </c>
      <c r="Q9" s="36">
        <f>$C9*P9</f>
        <v>20000000</v>
      </c>
      <c r="R9" s="35">
        <v>4</v>
      </c>
      <c r="S9" s="36">
        <f>$C9*R9</f>
        <v>20000000</v>
      </c>
      <c r="T9" s="35">
        <v>4</v>
      </c>
      <c r="U9" s="36">
        <f>$C9*T9</f>
        <v>20000000</v>
      </c>
      <c r="V9" s="35">
        <v>5</v>
      </c>
      <c r="W9" s="36">
        <f>$C9*V9</f>
        <v>25000000</v>
      </c>
      <c r="X9" s="35">
        <v>4</v>
      </c>
      <c r="Y9" s="36">
        <f>$C9*X9</f>
        <v>20000000</v>
      </c>
      <c r="Z9" s="35">
        <v>4</v>
      </c>
      <c r="AA9" s="36">
        <f>($C9*Z9)*1</f>
        <v>20000000</v>
      </c>
      <c r="AB9" s="34">
        <f t="shared" si="0"/>
        <v>235000051</v>
      </c>
    </row>
    <row r="10" spans="1:29" x14ac:dyDescent="0.2">
      <c r="A10" s="33" t="s">
        <v>86</v>
      </c>
      <c r="B10" s="34"/>
      <c r="C10" s="34">
        <v>4000000</v>
      </c>
      <c r="D10" s="35">
        <v>4</v>
      </c>
      <c r="E10" s="36">
        <f>$C10*D10</f>
        <v>16000000</v>
      </c>
      <c r="F10" s="35">
        <v>5</v>
      </c>
      <c r="G10" s="36">
        <f>$C10*F10</f>
        <v>20000000</v>
      </c>
      <c r="H10" s="35">
        <v>4</v>
      </c>
      <c r="I10" s="36">
        <f>$C10*H10</f>
        <v>16000000</v>
      </c>
      <c r="J10" s="35">
        <v>4</v>
      </c>
      <c r="K10" s="36">
        <f>$C10*J10</f>
        <v>16000000</v>
      </c>
      <c r="L10" s="35">
        <v>5</v>
      </c>
      <c r="M10" s="36">
        <f>$C10*L10</f>
        <v>20000000</v>
      </c>
      <c r="N10" s="35">
        <v>4</v>
      </c>
      <c r="O10" s="36">
        <f>$C10*N10</f>
        <v>16000000</v>
      </c>
      <c r="P10" s="35">
        <v>5</v>
      </c>
      <c r="Q10" s="36">
        <f>$C10*P10</f>
        <v>20000000</v>
      </c>
      <c r="R10" s="35">
        <v>5</v>
      </c>
      <c r="S10" s="36">
        <f>$C10*R10</f>
        <v>20000000</v>
      </c>
      <c r="T10" s="35">
        <v>4</v>
      </c>
      <c r="U10" s="36">
        <f>$C10*T10</f>
        <v>16000000</v>
      </c>
      <c r="V10" s="35">
        <v>5</v>
      </c>
      <c r="W10" s="36">
        <f>$C10*V10</f>
        <v>20000000</v>
      </c>
      <c r="X10" s="35">
        <v>4</v>
      </c>
      <c r="Y10" s="36">
        <f>$C10*X10</f>
        <v>16000000</v>
      </c>
      <c r="Z10" s="35">
        <v>4</v>
      </c>
      <c r="AA10" s="36">
        <f>($C10*Z10)*1.2</f>
        <v>19200000</v>
      </c>
      <c r="AB10" s="34">
        <f t="shared" si="0"/>
        <v>196000053</v>
      </c>
    </row>
    <row r="11" spans="1:29" x14ac:dyDescent="0.2">
      <c r="A11" s="37" t="s">
        <v>89</v>
      </c>
      <c r="B11" s="34"/>
      <c r="C11" s="34">
        <f t="shared" ref="C11:AA11" si="1">SUM(C4:C10)</f>
        <v>23960000</v>
      </c>
      <c r="D11" s="35">
        <f t="shared" si="1"/>
        <v>30</v>
      </c>
      <c r="E11" s="36">
        <f t="shared" si="1"/>
        <v>104040000</v>
      </c>
      <c r="F11" s="35">
        <f t="shared" si="1"/>
        <v>29</v>
      </c>
      <c r="G11" s="36">
        <f t="shared" si="1"/>
        <v>99840000</v>
      </c>
      <c r="H11" s="35">
        <f t="shared" si="1"/>
        <v>31</v>
      </c>
      <c r="I11" s="36">
        <f t="shared" si="1"/>
        <v>103340000</v>
      </c>
      <c r="J11" s="35">
        <f t="shared" si="1"/>
        <v>30</v>
      </c>
      <c r="K11" s="36">
        <f t="shared" si="1"/>
        <v>103300000</v>
      </c>
      <c r="L11" s="35">
        <f t="shared" si="1"/>
        <v>31</v>
      </c>
      <c r="M11" s="36">
        <f t="shared" si="1"/>
        <v>106840000</v>
      </c>
      <c r="N11" s="35">
        <f t="shared" si="1"/>
        <v>30</v>
      </c>
      <c r="O11" s="36">
        <f t="shared" si="1"/>
        <v>101340000</v>
      </c>
      <c r="P11" s="35">
        <f t="shared" si="1"/>
        <v>31</v>
      </c>
      <c r="Q11" s="36">
        <f t="shared" si="1"/>
        <v>104340000</v>
      </c>
      <c r="R11" s="35">
        <f t="shared" si="1"/>
        <v>31</v>
      </c>
      <c r="S11" s="36">
        <f t="shared" si="1"/>
        <v>104340000</v>
      </c>
      <c r="T11" s="35">
        <f t="shared" si="1"/>
        <v>30</v>
      </c>
      <c r="U11" s="36">
        <f t="shared" si="1"/>
        <v>102040000</v>
      </c>
      <c r="V11" s="35">
        <f t="shared" si="1"/>
        <v>31</v>
      </c>
      <c r="W11" s="36">
        <f t="shared" si="1"/>
        <v>109100000</v>
      </c>
      <c r="X11" s="35">
        <f t="shared" si="1"/>
        <v>30</v>
      </c>
      <c r="Y11" s="36">
        <f t="shared" si="1"/>
        <v>100340000</v>
      </c>
      <c r="Z11" s="35">
        <f t="shared" si="1"/>
        <v>30</v>
      </c>
      <c r="AA11" s="36">
        <f t="shared" si="1"/>
        <v>108240000</v>
      </c>
      <c r="AB11" s="34">
        <f t="shared" si="0"/>
        <v>1138860364</v>
      </c>
      <c r="AC11" s="67">
        <f>+E11+G11+I11+K11+M11+O11+Q11+S11+U11+W11+Y11+AA11</f>
        <v>1247100000</v>
      </c>
    </row>
    <row r="12" spans="1:29" x14ac:dyDescent="0.2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</row>
    <row r="13" spans="1:29" x14ac:dyDescent="0.2">
      <c r="A13" s="33" t="s">
        <v>63</v>
      </c>
      <c r="B13" s="33"/>
      <c r="C13" s="38">
        <v>0.6</v>
      </c>
      <c r="D13" s="33"/>
      <c r="E13" s="34">
        <f>E11*$C$13</f>
        <v>62424000</v>
      </c>
      <c r="F13" s="33"/>
      <c r="G13" s="34">
        <f>G11*$C$13</f>
        <v>59904000</v>
      </c>
      <c r="H13" s="33"/>
      <c r="I13" s="34">
        <f>I11*$C$13</f>
        <v>62004000</v>
      </c>
      <c r="J13" s="33"/>
      <c r="K13" s="34">
        <f>K11*$C$13</f>
        <v>61980000</v>
      </c>
      <c r="L13" s="33"/>
      <c r="M13" s="34">
        <f>M11*$C$13</f>
        <v>64104000</v>
      </c>
      <c r="N13" s="33"/>
      <c r="O13" s="34">
        <f>O11*$C$13</f>
        <v>60804000</v>
      </c>
      <c r="P13" s="33"/>
      <c r="Q13" s="34">
        <f>Q11*$C$13</f>
        <v>62604000</v>
      </c>
      <c r="R13" s="33"/>
      <c r="S13" s="34">
        <f>S11*$C$13</f>
        <v>62604000</v>
      </c>
      <c r="T13" s="33"/>
      <c r="U13" s="34">
        <f>U11*$C$13</f>
        <v>61224000</v>
      </c>
      <c r="V13" s="33"/>
      <c r="W13" s="34">
        <f>W11*$C$13</f>
        <v>65460000</v>
      </c>
      <c r="X13" s="33"/>
      <c r="Y13" s="34">
        <f>Y11*$C$13</f>
        <v>60204000</v>
      </c>
      <c r="Z13" s="33"/>
      <c r="AA13" s="34">
        <f>AA11*$C$13</f>
        <v>64944000</v>
      </c>
      <c r="AB13" s="34"/>
    </row>
    <row r="14" spans="1:29" x14ac:dyDescent="0.2">
      <c r="A14" s="33" t="s">
        <v>62</v>
      </c>
      <c r="B14" s="33"/>
      <c r="C14" s="38">
        <v>0.4</v>
      </c>
      <c r="D14" s="33"/>
      <c r="E14" s="34">
        <f>E11*$C$14</f>
        <v>41616000</v>
      </c>
      <c r="F14" s="33"/>
      <c r="G14" s="34">
        <f>G11*$C$14</f>
        <v>39936000</v>
      </c>
      <c r="H14" s="33"/>
      <c r="I14" s="34">
        <f>I11*$C$14</f>
        <v>41336000</v>
      </c>
      <c r="J14" s="33"/>
      <c r="K14" s="34">
        <f>K11*$C$14</f>
        <v>41320000</v>
      </c>
      <c r="L14" s="33"/>
      <c r="M14" s="34">
        <f>M11*$C$14</f>
        <v>42736000</v>
      </c>
      <c r="N14" s="33"/>
      <c r="O14" s="34">
        <f>O11*$C$14</f>
        <v>40536000</v>
      </c>
      <c r="P14" s="33"/>
      <c r="Q14" s="34">
        <f>Q11*$C$14</f>
        <v>41736000</v>
      </c>
      <c r="R14" s="33"/>
      <c r="S14" s="34">
        <f>S11*$C$14</f>
        <v>41736000</v>
      </c>
      <c r="T14" s="33"/>
      <c r="U14" s="34">
        <f>U11*$C$14</f>
        <v>40816000</v>
      </c>
      <c r="V14" s="33"/>
      <c r="W14" s="34">
        <f>W11*$C$14</f>
        <v>43640000</v>
      </c>
      <c r="X14" s="33"/>
      <c r="Y14" s="34">
        <f>Y11*$C$14</f>
        <v>40136000</v>
      </c>
      <c r="Z14" s="33"/>
      <c r="AA14" s="34">
        <f>AA11*$C$14</f>
        <v>43296000</v>
      </c>
      <c r="AB14" s="34"/>
    </row>
  </sheetData>
  <mergeCells count="14">
    <mergeCell ref="A1:AA1"/>
    <mergeCell ref="Z3:AA3"/>
    <mergeCell ref="A2:AA2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</mergeCells>
  <phoneticPr fontId="2" type="noConversion"/>
  <pageMargins left="0.75" right="0.75" top="1" bottom="1" header="0" footer="0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64"/>
  <sheetViews>
    <sheetView showGridLines="0" zoomScaleNormal="100" workbookViewId="0">
      <selection activeCell="A13" sqref="A13"/>
    </sheetView>
  </sheetViews>
  <sheetFormatPr baseColWidth="10" defaultRowHeight="12.5" x14ac:dyDescent="0.25"/>
  <cols>
    <col min="1" max="1" width="3" customWidth="1"/>
    <col min="2" max="2" width="22.1796875" bestFit="1" customWidth="1"/>
    <col min="3" max="3" width="5.81640625" bestFit="1" customWidth="1"/>
    <col min="4" max="4" width="10.1796875" bestFit="1" customWidth="1"/>
    <col min="5" max="5" width="6.26953125" hidden="1" customWidth="1"/>
    <col min="6" max="6" width="10" bestFit="1" customWidth="1"/>
    <col min="7" max="7" width="6.26953125" hidden="1" customWidth="1"/>
    <col min="8" max="8" width="10" bestFit="1" customWidth="1"/>
    <col min="9" max="9" width="6.26953125" hidden="1" customWidth="1"/>
    <col min="10" max="10" width="10.26953125" bestFit="1" customWidth="1"/>
    <col min="11" max="11" width="6.26953125" hidden="1" customWidth="1"/>
    <col min="12" max="12" width="10.453125" bestFit="1" customWidth="1"/>
    <col min="13" max="13" width="6.26953125" hidden="1" customWidth="1"/>
    <col min="14" max="14" width="10.26953125" bestFit="1" customWidth="1"/>
    <col min="15" max="15" width="6.26953125" hidden="1" customWidth="1"/>
    <col min="16" max="16" width="10.1796875" bestFit="1" customWidth="1"/>
    <col min="17" max="17" width="6.26953125" hidden="1" customWidth="1"/>
    <col min="18" max="18" width="10.1796875" bestFit="1" customWidth="1"/>
    <col min="19" max="19" width="6.26953125" hidden="1" customWidth="1"/>
    <col min="20" max="20" width="10" bestFit="1" customWidth="1"/>
    <col min="21" max="21" width="6.26953125" hidden="1" customWidth="1"/>
    <col min="22" max="22" width="10.26953125" bestFit="1" customWidth="1"/>
    <col min="23" max="23" width="6.26953125" hidden="1" customWidth="1"/>
    <col min="24" max="24" width="10.1796875" bestFit="1" customWidth="1"/>
    <col min="25" max="25" width="6.26953125" hidden="1" customWidth="1"/>
    <col min="26" max="26" width="10" bestFit="1" customWidth="1"/>
    <col min="27" max="27" width="6" hidden="1" customWidth="1"/>
    <col min="28" max="28" width="11.453125" bestFit="1" customWidth="1"/>
  </cols>
  <sheetData>
    <row r="1" spans="2:28" ht="15" x14ac:dyDescent="0.25">
      <c r="B1" s="106" t="str">
        <f>+Nómina!C1</f>
        <v>Restaurante de Prueba</v>
      </c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</row>
    <row r="2" spans="2:28" ht="15" x14ac:dyDescent="0.25">
      <c r="B2" s="106" t="str">
        <f>+'Presupuesto 0'!B2:AB2</f>
        <v xml:space="preserve">PRESUPUESTO ESTIMADO </v>
      </c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</row>
    <row r="3" spans="2:28" ht="15" x14ac:dyDescent="0.25">
      <c r="B3" s="72" t="s">
        <v>79</v>
      </c>
      <c r="C3" s="72"/>
      <c r="D3" s="73">
        <v>0.1</v>
      </c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</row>
    <row r="4" spans="2:28" x14ac:dyDescent="0.25">
      <c r="B4" s="59" t="s">
        <v>0</v>
      </c>
      <c r="C4" s="63"/>
      <c r="D4" s="29" t="s">
        <v>48</v>
      </c>
      <c r="E4" s="2" t="s">
        <v>1</v>
      </c>
      <c r="F4" s="29" t="s">
        <v>49</v>
      </c>
      <c r="G4" s="2" t="s">
        <v>1</v>
      </c>
      <c r="H4" s="29" t="s">
        <v>50</v>
      </c>
      <c r="I4" s="2" t="s">
        <v>1</v>
      </c>
      <c r="J4" s="29" t="s">
        <v>51</v>
      </c>
      <c r="K4" s="2" t="s">
        <v>1</v>
      </c>
      <c r="L4" s="29" t="s">
        <v>52</v>
      </c>
      <c r="M4" s="2" t="s">
        <v>1</v>
      </c>
      <c r="N4" s="29" t="s">
        <v>53</v>
      </c>
      <c r="O4" s="2" t="s">
        <v>1</v>
      </c>
      <c r="P4" s="29" t="s">
        <v>54</v>
      </c>
      <c r="Q4" s="2" t="s">
        <v>1</v>
      </c>
      <c r="R4" s="29" t="s">
        <v>55</v>
      </c>
      <c r="S4" s="2" t="s">
        <v>1</v>
      </c>
      <c r="T4" s="29" t="s">
        <v>56</v>
      </c>
      <c r="U4" s="2" t="s">
        <v>1</v>
      </c>
      <c r="V4" s="29" t="s">
        <v>57</v>
      </c>
      <c r="W4" s="2" t="s">
        <v>1</v>
      </c>
      <c r="X4" s="29" t="s">
        <v>58</v>
      </c>
      <c r="Y4" s="2" t="s">
        <v>1</v>
      </c>
      <c r="Z4" s="29" t="s">
        <v>59</v>
      </c>
      <c r="AA4" s="2" t="s">
        <v>1</v>
      </c>
      <c r="AB4" s="2" t="s">
        <v>2</v>
      </c>
    </row>
    <row r="5" spans="2:28" x14ac:dyDescent="0.25">
      <c r="B5" s="60" t="s">
        <v>3</v>
      </c>
      <c r="C5" s="64"/>
      <c r="D5" s="4">
        <f>+'Presupuesto 0'!D4*(1-$D$3)</f>
        <v>56181600</v>
      </c>
      <c r="E5" s="5"/>
      <c r="F5" s="4">
        <f>+'Presupuesto 0'!F4*(1-$D$3)</f>
        <v>53913600</v>
      </c>
      <c r="G5" s="4"/>
      <c r="H5" s="4">
        <f>+'Presupuesto 0'!H4*(1-$D$3)</f>
        <v>55803600</v>
      </c>
      <c r="I5" s="5"/>
      <c r="J5" s="4">
        <f>+'Presupuesto 0'!J4*(1-$D$3)</f>
        <v>55782000</v>
      </c>
      <c r="K5" s="4"/>
      <c r="L5" s="4">
        <f>+'Presupuesto 0'!L4*(1-$D$3)</f>
        <v>57693600</v>
      </c>
      <c r="M5" s="5"/>
      <c r="N5" s="4">
        <f>+'Presupuesto 0'!N4*(1-$D$3)</f>
        <v>54723600</v>
      </c>
      <c r="O5" s="4"/>
      <c r="P5" s="4">
        <f>+'Presupuesto 0'!P4*(1-$D$3)</f>
        <v>56343600</v>
      </c>
      <c r="Q5" s="5"/>
      <c r="R5" s="4">
        <f>+'Presupuesto 0'!R4*(1-$D$3)</f>
        <v>56343600</v>
      </c>
      <c r="S5" s="4"/>
      <c r="T5" s="4">
        <f>+'Presupuesto 0'!T4*(1-$D$3)</f>
        <v>55101600</v>
      </c>
      <c r="U5" s="5"/>
      <c r="V5" s="4">
        <f>+'Presupuesto 0'!V4*(1-$D$3)</f>
        <v>58914000</v>
      </c>
      <c r="W5" s="4"/>
      <c r="X5" s="4">
        <f>+'Presupuesto 0'!X4*(1-$D$3)</f>
        <v>50170000</v>
      </c>
      <c r="Y5" s="5"/>
      <c r="Z5" s="4">
        <f>+'Presupuesto 0'!Z4*(1-$D$3)</f>
        <v>54120000</v>
      </c>
      <c r="AA5" s="4"/>
      <c r="AB5" s="4">
        <f t="shared" ref="AB5:AB12" si="0">SUM(D5:Z5)</f>
        <v>665090800</v>
      </c>
    </row>
    <row r="6" spans="2:28" x14ac:dyDescent="0.25">
      <c r="B6" s="60" t="s">
        <v>4</v>
      </c>
      <c r="C6" s="64"/>
      <c r="D6" s="4">
        <f>+'Presupuesto 0'!D5*(1-$D$3)</f>
        <v>37454400</v>
      </c>
      <c r="E6" s="4"/>
      <c r="F6" s="4">
        <f>+'Presupuesto 0'!F5*(1-$D$3)</f>
        <v>35942400</v>
      </c>
      <c r="G6" s="4"/>
      <c r="H6" s="4">
        <f>+'Presupuesto 0'!H5*(1-$D$3)</f>
        <v>37202400</v>
      </c>
      <c r="I6" s="4"/>
      <c r="J6" s="4">
        <f>+'Presupuesto 0'!J5*(1-$D$3)</f>
        <v>37188000</v>
      </c>
      <c r="K6" s="4"/>
      <c r="L6" s="4">
        <f>+'Presupuesto 0'!L5*(1-$D$3)</f>
        <v>38462400</v>
      </c>
      <c r="M6" s="4"/>
      <c r="N6" s="4">
        <f>+'Presupuesto 0'!N5*(1-$D$3)</f>
        <v>36482400</v>
      </c>
      <c r="O6" s="4"/>
      <c r="P6" s="4">
        <f>+'Presupuesto 0'!P5*(1-$D$3)</f>
        <v>37562400</v>
      </c>
      <c r="Q6" s="4"/>
      <c r="R6" s="4">
        <f>+'Presupuesto 0'!R5*(1-$D$3)</f>
        <v>37562400</v>
      </c>
      <c r="S6" s="4"/>
      <c r="T6" s="4">
        <f>+'Presupuesto 0'!T5*(1-$D$3)</f>
        <v>36734400</v>
      </c>
      <c r="U6" s="4"/>
      <c r="V6" s="4">
        <f>+'Presupuesto 0'!V5*(1-$D$3)</f>
        <v>39276000</v>
      </c>
      <c r="W6" s="4"/>
      <c r="X6" s="4">
        <f>+'Presupuesto 0'!X5*(1-$D$3)</f>
        <v>33446666.666666668</v>
      </c>
      <c r="Y6" s="4"/>
      <c r="Z6" s="4">
        <f>+'Presupuesto 0'!Z5*(1-$D$3)</f>
        <v>36080000</v>
      </c>
      <c r="AA6" s="4"/>
      <c r="AB6" s="4">
        <f t="shared" si="0"/>
        <v>443393866.66666669</v>
      </c>
    </row>
    <row r="7" spans="2:28" hidden="1" x14ac:dyDescent="0.25">
      <c r="B7" s="60" t="s">
        <v>5</v>
      </c>
      <c r="C7" s="6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>
        <f t="shared" si="0"/>
        <v>0</v>
      </c>
    </row>
    <row r="8" spans="2:28" hidden="1" x14ac:dyDescent="0.25">
      <c r="B8" s="61" t="s">
        <v>6</v>
      </c>
      <c r="C8" s="6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>
        <f t="shared" si="0"/>
        <v>0</v>
      </c>
    </row>
    <row r="9" spans="2:28" hidden="1" x14ac:dyDescent="0.25">
      <c r="B9" s="61" t="s">
        <v>60</v>
      </c>
      <c r="C9" s="6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>
        <f t="shared" si="0"/>
        <v>0</v>
      </c>
    </row>
    <row r="10" spans="2:28" hidden="1" x14ac:dyDescent="0.25">
      <c r="B10" s="61" t="s">
        <v>7</v>
      </c>
      <c r="C10" s="6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>
        <f t="shared" si="0"/>
        <v>0</v>
      </c>
    </row>
    <row r="11" spans="2:28" hidden="1" x14ac:dyDescent="0.25">
      <c r="B11" s="61" t="s">
        <v>61</v>
      </c>
      <c r="C11" s="6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>
        <f t="shared" si="0"/>
        <v>0</v>
      </c>
    </row>
    <row r="12" spans="2:28" hidden="1" x14ac:dyDescent="0.25">
      <c r="B12" s="61"/>
      <c r="C12" s="6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>
        <f t="shared" si="0"/>
        <v>0</v>
      </c>
    </row>
    <row r="13" spans="2:28" x14ac:dyDescent="0.25">
      <c r="B13" s="62" t="s">
        <v>2</v>
      </c>
      <c r="C13" s="63"/>
      <c r="D13" s="6">
        <f>SUM(D5:D12)</f>
        <v>93636000</v>
      </c>
      <c r="E13" s="6"/>
      <c r="F13" s="6">
        <f>SUM(F5:F12)</f>
        <v>89856000</v>
      </c>
      <c r="G13" s="6"/>
      <c r="H13" s="6">
        <f>SUM(H5:H12)</f>
        <v>93006000</v>
      </c>
      <c r="I13" s="6"/>
      <c r="J13" s="6">
        <f>SUM(J5:J12)</f>
        <v>92970000</v>
      </c>
      <c r="K13" s="6"/>
      <c r="L13" s="6">
        <f>SUM(L5:L12)</f>
        <v>96156000</v>
      </c>
      <c r="M13" s="6"/>
      <c r="N13" s="6">
        <f>SUM(N5:N12)</f>
        <v>91206000</v>
      </c>
      <c r="O13" s="6"/>
      <c r="P13" s="6">
        <f>SUM(P5:P12)</f>
        <v>93906000</v>
      </c>
      <c r="Q13" s="6"/>
      <c r="R13" s="6">
        <f>SUM(R5:R12)</f>
        <v>93906000</v>
      </c>
      <c r="S13" s="6"/>
      <c r="T13" s="6">
        <f>SUM(T5:T12)</f>
        <v>91836000</v>
      </c>
      <c r="U13" s="6"/>
      <c r="V13" s="6">
        <f>SUM(V5:V12)</f>
        <v>98190000</v>
      </c>
      <c r="W13" s="6"/>
      <c r="X13" s="6">
        <f>SUM(X5:X12)</f>
        <v>83616666.666666672</v>
      </c>
      <c r="Y13" s="6"/>
      <c r="Z13" s="6">
        <f>SUM(Z5:Z12)</f>
        <v>90200000</v>
      </c>
      <c r="AA13" s="6"/>
      <c r="AB13" s="6">
        <f>SUM(AB5:AB12)</f>
        <v>1108484666.6666667</v>
      </c>
    </row>
    <row r="14" spans="2:28" x14ac:dyDescent="0.25">
      <c r="B14" s="62" t="s">
        <v>8</v>
      </c>
      <c r="C14" s="64"/>
      <c r="D14" s="4">
        <f>D13/'Ventas por día'!D11</f>
        <v>3121200</v>
      </c>
      <c r="E14" s="4"/>
      <c r="F14" s="4">
        <f>F13/'Ventas por día'!F11</f>
        <v>3098482.7586206896</v>
      </c>
      <c r="G14" s="4"/>
      <c r="H14" s="4">
        <f>H13/'Ventas por día'!H11</f>
        <v>3000193.5483870967</v>
      </c>
      <c r="I14" s="4"/>
      <c r="J14" s="4">
        <f>J13/'Ventas por día'!J11</f>
        <v>3099000</v>
      </c>
      <c r="K14" s="4"/>
      <c r="L14" s="4">
        <f>L13/'Ventas por día'!L11</f>
        <v>3101806.4516129033</v>
      </c>
      <c r="M14" s="4"/>
      <c r="N14" s="4">
        <f>N13/'Ventas por día'!N11</f>
        <v>3040200</v>
      </c>
      <c r="O14" s="4"/>
      <c r="P14" s="4">
        <f>P13/'Ventas por día'!P11</f>
        <v>3029225.8064516131</v>
      </c>
      <c r="Q14" s="4"/>
      <c r="R14" s="4">
        <f>R13/'Ventas por día'!R11</f>
        <v>3029225.8064516131</v>
      </c>
      <c r="S14" s="4"/>
      <c r="T14" s="4">
        <f>T13/'Ventas por día'!T11</f>
        <v>3061200</v>
      </c>
      <c r="U14" s="4"/>
      <c r="V14" s="4">
        <f>V13/'Ventas por día'!V11</f>
        <v>3167419.3548387098</v>
      </c>
      <c r="W14" s="4"/>
      <c r="X14" s="4">
        <f>X13/'Ventas por día'!X11</f>
        <v>2787222.2222222225</v>
      </c>
      <c r="Y14" s="4"/>
      <c r="Z14" s="4">
        <f>Z13/'Ventas por día'!Z11</f>
        <v>3006666.6666666665</v>
      </c>
      <c r="AA14" s="4"/>
      <c r="AB14" s="4"/>
    </row>
    <row r="15" spans="2:28" x14ac:dyDescent="0.25">
      <c r="B15" s="62" t="s">
        <v>9</v>
      </c>
      <c r="C15" s="64"/>
      <c r="D15" s="4">
        <f>D14/$D$16</f>
        <v>141.87272727272727</v>
      </c>
      <c r="E15" s="4"/>
      <c r="F15" s="4">
        <f>F14/$D$16</f>
        <v>140.84012539184954</v>
      </c>
      <c r="G15" s="4"/>
      <c r="H15" s="4">
        <f>H14/$D$16</f>
        <v>136.37243401759531</v>
      </c>
      <c r="I15" s="4"/>
      <c r="J15" s="4">
        <f>J14/$D$16</f>
        <v>140.86363636363637</v>
      </c>
      <c r="K15" s="4"/>
      <c r="L15" s="4">
        <f>L14/$D$16</f>
        <v>140.99120234604106</v>
      </c>
      <c r="M15" s="4"/>
      <c r="N15" s="4">
        <f>N14/$D$16</f>
        <v>138.19090909090909</v>
      </c>
      <c r="O15" s="4"/>
      <c r="P15" s="4">
        <f>P14/$D$16</f>
        <v>137.69208211143695</v>
      </c>
      <c r="Q15" s="4"/>
      <c r="R15" s="4">
        <f>R14/$D$16</f>
        <v>137.69208211143695</v>
      </c>
      <c r="S15" s="4"/>
      <c r="T15" s="4">
        <f>T14/$D$16</f>
        <v>139.14545454545456</v>
      </c>
      <c r="U15" s="4"/>
      <c r="V15" s="4">
        <f>V14/$D$16</f>
        <v>143.97360703812316</v>
      </c>
      <c r="W15" s="4"/>
      <c r="X15" s="4">
        <f>X14/$D$16</f>
        <v>126.6919191919192</v>
      </c>
      <c r="Y15" s="4"/>
      <c r="Z15" s="4">
        <f>Z14/$D$16</f>
        <v>136.66666666666666</v>
      </c>
      <c r="AA15" s="4"/>
      <c r="AB15" s="3"/>
    </row>
    <row r="16" spans="2:28" ht="13" thickBot="1" x14ac:dyDescent="0.3">
      <c r="B16" s="40" t="s">
        <v>10</v>
      </c>
      <c r="C16" s="41"/>
      <c r="D16" s="52">
        <f>+'Presupuesto 0'!D15</f>
        <v>22000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7"/>
    </row>
    <row r="17" spans="2:28" ht="13" thickTop="1" x14ac:dyDescent="0.25">
      <c r="B17" s="65"/>
      <c r="C17" s="20"/>
      <c r="D17" s="66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7"/>
    </row>
    <row r="18" spans="2:28" x14ac:dyDescent="0.25">
      <c r="B18" s="59" t="s">
        <v>11</v>
      </c>
      <c r="C18" s="63"/>
      <c r="D18" s="29" t="s">
        <v>48</v>
      </c>
      <c r="E18" s="2" t="s">
        <v>1</v>
      </c>
      <c r="F18" s="29" t="s">
        <v>49</v>
      </c>
      <c r="G18" s="2" t="s">
        <v>1</v>
      </c>
      <c r="H18" s="29" t="s">
        <v>50</v>
      </c>
      <c r="I18" s="2" t="s">
        <v>1</v>
      </c>
      <c r="J18" s="29" t="s">
        <v>51</v>
      </c>
      <c r="K18" s="2" t="s">
        <v>1</v>
      </c>
      <c r="L18" s="29" t="s">
        <v>52</v>
      </c>
      <c r="M18" s="2" t="s">
        <v>1</v>
      </c>
      <c r="N18" s="29" t="s">
        <v>53</v>
      </c>
      <c r="O18" s="2" t="s">
        <v>1</v>
      </c>
      <c r="P18" s="29" t="s">
        <v>54</v>
      </c>
      <c r="Q18" s="2" t="s">
        <v>1</v>
      </c>
      <c r="R18" s="29" t="s">
        <v>55</v>
      </c>
      <c r="S18" s="2" t="s">
        <v>1</v>
      </c>
      <c r="T18" s="29" t="s">
        <v>56</v>
      </c>
      <c r="U18" s="2" t="s">
        <v>1</v>
      </c>
      <c r="V18" s="29" t="s">
        <v>57</v>
      </c>
      <c r="W18" s="2" t="s">
        <v>1</v>
      </c>
      <c r="X18" s="29" t="s">
        <v>58</v>
      </c>
      <c r="Y18" s="2" t="s">
        <v>1</v>
      </c>
      <c r="Z18" s="29" t="s">
        <v>59</v>
      </c>
      <c r="AA18" s="2" t="s">
        <v>1</v>
      </c>
      <c r="AB18" s="2" t="s">
        <v>2</v>
      </c>
    </row>
    <row r="19" spans="2:28" x14ac:dyDescent="0.25">
      <c r="B19" s="3" t="s">
        <v>12</v>
      </c>
      <c r="C19" s="10">
        <f>+'Presupuesto 0'!C18</f>
        <v>0.38</v>
      </c>
      <c r="D19" s="4">
        <f>D5*$C$19</f>
        <v>21349008</v>
      </c>
      <c r="E19" s="10"/>
      <c r="F19" s="4">
        <f>F5*$C$19</f>
        <v>20487168</v>
      </c>
      <c r="G19" s="10"/>
      <c r="H19" s="4">
        <f>H5*$C$19</f>
        <v>21205368</v>
      </c>
      <c r="I19" s="10"/>
      <c r="J19" s="4">
        <f>J5*$C$19</f>
        <v>21197160</v>
      </c>
      <c r="K19" s="10"/>
      <c r="L19" s="4">
        <f>L5*$C$19</f>
        <v>21923568</v>
      </c>
      <c r="M19" s="10"/>
      <c r="N19" s="4">
        <f>N5*$C$19</f>
        <v>20794968</v>
      </c>
      <c r="O19" s="10"/>
      <c r="P19" s="4">
        <f>P5*$C$19</f>
        <v>21410568</v>
      </c>
      <c r="Q19" s="10"/>
      <c r="R19" s="4">
        <f>R5*$C$19</f>
        <v>21410568</v>
      </c>
      <c r="S19" s="10"/>
      <c r="T19" s="4">
        <f>T5*$C$19</f>
        <v>20938608</v>
      </c>
      <c r="U19" s="10"/>
      <c r="V19" s="4">
        <f>V5*$C$19</f>
        <v>22387320</v>
      </c>
      <c r="W19" s="10"/>
      <c r="X19" s="4">
        <f>X5*$C$19</f>
        <v>19064600</v>
      </c>
      <c r="Y19" s="10"/>
      <c r="Z19" s="4">
        <f>Z5*$C$19</f>
        <v>20565600</v>
      </c>
      <c r="AA19" s="10"/>
      <c r="AB19" s="4">
        <f>SUM(D19:Z19)</f>
        <v>252734504</v>
      </c>
    </row>
    <row r="20" spans="2:28" x14ac:dyDescent="0.25">
      <c r="B20" s="3" t="s">
        <v>13</v>
      </c>
      <c r="C20" s="10">
        <f>+'Presupuesto 0'!C19</f>
        <v>0.43</v>
      </c>
      <c r="D20" s="4">
        <f>D6*$C$20</f>
        <v>16105392</v>
      </c>
      <c r="E20" s="10"/>
      <c r="F20" s="4">
        <f>F6*$C$20</f>
        <v>15455232</v>
      </c>
      <c r="G20" s="10"/>
      <c r="H20" s="4">
        <f>H6*$C$20</f>
        <v>15997032</v>
      </c>
      <c r="I20" s="10"/>
      <c r="J20" s="4">
        <f>J6*$C$20</f>
        <v>15990840</v>
      </c>
      <c r="K20" s="10"/>
      <c r="L20" s="4">
        <f>L6*$C$20</f>
        <v>16538832</v>
      </c>
      <c r="M20" s="10"/>
      <c r="N20" s="4">
        <f>N6*$C$20</f>
        <v>15687432</v>
      </c>
      <c r="O20" s="10"/>
      <c r="P20" s="4">
        <f>P6*$C$20</f>
        <v>16151832</v>
      </c>
      <c r="Q20" s="10"/>
      <c r="R20" s="4">
        <f>R6*$C$20</f>
        <v>16151832</v>
      </c>
      <c r="S20" s="10"/>
      <c r="T20" s="4">
        <f>T6*$C$20</f>
        <v>15795792</v>
      </c>
      <c r="U20" s="10"/>
      <c r="V20" s="4">
        <f>V6*$C$20</f>
        <v>16888680</v>
      </c>
      <c r="W20" s="10"/>
      <c r="X20" s="4">
        <f>X6*$C$20</f>
        <v>14382066.666666668</v>
      </c>
      <c r="Y20" s="10"/>
      <c r="Z20" s="4">
        <f>Z6*$C$20</f>
        <v>15514400</v>
      </c>
      <c r="AA20" s="10"/>
      <c r="AB20" s="4">
        <f>SUM(D20:Z20)</f>
        <v>190659362.66666666</v>
      </c>
    </row>
    <row r="21" spans="2:28" hidden="1" x14ac:dyDescent="0.25">
      <c r="B21" s="3" t="s">
        <v>14</v>
      </c>
      <c r="C21" s="10">
        <v>0.35</v>
      </c>
      <c r="D21" s="4">
        <f>D7*$C$21</f>
        <v>0</v>
      </c>
      <c r="E21" s="10"/>
      <c r="F21" s="4">
        <f>F7*$C$21</f>
        <v>0</v>
      </c>
      <c r="G21" s="10"/>
      <c r="H21" s="4">
        <f>H7*$C$21</f>
        <v>0</v>
      </c>
      <c r="I21" s="10"/>
      <c r="J21" s="4">
        <f>J7*$C$21</f>
        <v>0</v>
      </c>
      <c r="K21" s="10"/>
      <c r="L21" s="4">
        <f>L7*$C$21</f>
        <v>0</v>
      </c>
      <c r="M21" s="10"/>
      <c r="N21" s="4">
        <f>N7*$C$21</f>
        <v>0</v>
      </c>
      <c r="O21" s="10"/>
      <c r="P21" s="4">
        <f>P7*$C$21</f>
        <v>0</v>
      </c>
      <c r="Q21" s="10"/>
      <c r="R21" s="4">
        <f>R7*$C$21</f>
        <v>0</v>
      </c>
      <c r="S21" s="10"/>
      <c r="T21" s="4">
        <f>T7*$C$21</f>
        <v>0</v>
      </c>
      <c r="U21" s="10"/>
      <c r="V21" s="4">
        <f>V7*$C$21</f>
        <v>0</v>
      </c>
      <c r="W21" s="10"/>
      <c r="X21" s="4">
        <f>X7*$C$21</f>
        <v>0</v>
      </c>
      <c r="Y21" s="10"/>
      <c r="Z21" s="4">
        <f>Z7*$C$21</f>
        <v>0</v>
      </c>
      <c r="AA21" s="10"/>
      <c r="AB21" s="4">
        <f>SUM(D21:Z21)</f>
        <v>0</v>
      </c>
    </row>
    <row r="22" spans="2:28" ht="13" thickBot="1" x14ac:dyDescent="0.3">
      <c r="B22" s="1" t="s">
        <v>2</v>
      </c>
      <c r="C22" s="1"/>
      <c r="D22" s="6">
        <f>SUM(D19:D21)</f>
        <v>37454400</v>
      </c>
      <c r="E22" s="51"/>
      <c r="F22" s="6">
        <f>SUM(F19:F21)</f>
        <v>35942400</v>
      </c>
      <c r="G22" s="51"/>
      <c r="H22" s="6">
        <f>SUM(H19:H21)</f>
        <v>37202400</v>
      </c>
      <c r="I22" s="51"/>
      <c r="J22" s="6">
        <f>SUM(J19:J21)</f>
        <v>37188000</v>
      </c>
      <c r="K22" s="51"/>
      <c r="L22" s="6">
        <f>SUM(L19:L21)</f>
        <v>38462400</v>
      </c>
      <c r="M22" s="51"/>
      <c r="N22" s="6">
        <f>SUM(N19:N21)</f>
        <v>36482400</v>
      </c>
      <c r="O22" s="51"/>
      <c r="P22" s="6">
        <f>SUM(P19:P21)</f>
        <v>37562400</v>
      </c>
      <c r="Q22" s="51"/>
      <c r="R22" s="6">
        <f>SUM(R19:R21)</f>
        <v>37562400</v>
      </c>
      <c r="S22" s="51"/>
      <c r="T22" s="6">
        <f>SUM(T19:T21)</f>
        <v>36734400</v>
      </c>
      <c r="U22" s="51"/>
      <c r="V22" s="6">
        <f>SUM(V19:V21)</f>
        <v>39276000</v>
      </c>
      <c r="W22" s="51"/>
      <c r="X22" s="6">
        <f>SUM(X19:X21)</f>
        <v>33446666.666666668</v>
      </c>
      <c r="Y22" s="51"/>
      <c r="Z22" s="6">
        <f>SUM(Z19:Z21)</f>
        <v>36080000</v>
      </c>
      <c r="AA22" s="51"/>
      <c r="AB22" s="6">
        <f>SUM(D22:Z22)</f>
        <v>443393866.66666669</v>
      </c>
    </row>
    <row r="23" spans="2:28" ht="14.25" customHeight="1" thickTop="1" thickBot="1" x14ac:dyDescent="0.3">
      <c r="B23" s="46" t="s">
        <v>15</v>
      </c>
      <c r="C23" s="47"/>
      <c r="D23" s="50">
        <f>D13-D22</f>
        <v>56181600</v>
      </c>
      <c r="E23" s="48"/>
      <c r="F23" s="50">
        <f>F13-F22</f>
        <v>53913600</v>
      </c>
      <c r="G23" s="49"/>
      <c r="H23" s="50">
        <f>H13-H22</f>
        <v>55803600</v>
      </c>
      <c r="I23" s="48"/>
      <c r="J23" s="50">
        <f>J13-J22</f>
        <v>55782000</v>
      </c>
      <c r="K23" s="48"/>
      <c r="L23" s="50">
        <f>L13-L22</f>
        <v>57693600</v>
      </c>
      <c r="M23" s="48"/>
      <c r="N23" s="50">
        <f>N13-N22</f>
        <v>54723600</v>
      </c>
      <c r="O23" s="48"/>
      <c r="P23" s="50">
        <f>P13-P22</f>
        <v>56343600</v>
      </c>
      <c r="Q23" s="48"/>
      <c r="R23" s="50">
        <f>R13-R22</f>
        <v>56343600</v>
      </c>
      <c r="S23" s="48"/>
      <c r="T23" s="50">
        <f>T13-T22</f>
        <v>55101600</v>
      </c>
      <c r="U23" s="48"/>
      <c r="V23" s="50">
        <f>V13-V22</f>
        <v>58914000</v>
      </c>
      <c r="W23" s="48"/>
      <c r="X23" s="50">
        <f>X13-X22</f>
        <v>50170000</v>
      </c>
      <c r="Y23" s="48"/>
      <c r="Z23" s="50">
        <f>Z13-Z22</f>
        <v>54120000</v>
      </c>
      <c r="AA23" s="48"/>
      <c r="AB23" s="50">
        <f>SUM(D23:Z23)</f>
        <v>665090800</v>
      </c>
    </row>
    <row r="24" spans="2:28" ht="9.25" customHeight="1" thickTop="1" x14ac:dyDescent="0.25">
      <c r="B24" s="7"/>
      <c r="C24" s="7"/>
      <c r="D24" s="8"/>
      <c r="E24" s="11"/>
      <c r="F24" s="8"/>
      <c r="G24" s="11"/>
      <c r="H24" s="8"/>
      <c r="I24" s="11"/>
      <c r="J24" s="8"/>
      <c r="K24" s="11"/>
      <c r="L24" s="8"/>
      <c r="M24" s="11"/>
      <c r="N24" s="8"/>
      <c r="O24" s="11"/>
      <c r="P24" s="8"/>
      <c r="Q24" s="11"/>
      <c r="R24" s="8"/>
      <c r="S24" s="11"/>
      <c r="T24" s="8"/>
      <c r="U24" s="11"/>
      <c r="V24" s="8"/>
      <c r="W24" s="11"/>
      <c r="X24" s="8"/>
      <c r="Y24" s="11"/>
      <c r="Z24" s="8"/>
      <c r="AA24" s="11"/>
      <c r="AB24" s="7"/>
    </row>
    <row r="25" spans="2:28" ht="9.25" customHeight="1" thickBot="1" x14ac:dyDescent="0.3">
      <c r="B25" s="9" t="s">
        <v>16</v>
      </c>
      <c r="C25" s="9"/>
      <c r="D25" s="12">
        <f>SUM(D39:D56)+D26</f>
        <v>48127162.456767991</v>
      </c>
      <c r="E25" s="13">
        <f>D25/D13</f>
        <v>0.5139814009223802</v>
      </c>
      <c r="F25" s="12">
        <f>SUM(F39:F56)+F26</f>
        <v>53144312.456767991</v>
      </c>
      <c r="G25" s="13">
        <f>F25/F13</f>
        <v>0.59143866249074062</v>
      </c>
      <c r="H25" s="12">
        <f>SUM(H39:H56)+H26</f>
        <v>48106687.456767991</v>
      </c>
      <c r="I25" s="13">
        <f>H25/H13</f>
        <v>0.51724283870683607</v>
      </c>
      <c r="J25" s="12">
        <f>SUM(J39:J56)+J26</f>
        <v>48105517.456767991</v>
      </c>
      <c r="K25" s="13">
        <f>J25/J13</f>
        <v>0.51743054164534785</v>
      </c>
      <c r="L25" s="12">
        <f>SUM(L39:L56)+L26</f>
        <v>48209062.456767991</v>
      </c>
      <c r="M25" s="13">
        <f>L25/L13</f>
        <v>0.50136301901876112</v>
      </c>
      <c r="N25" s="12">
        <f>SUM(N39:N56)+N26</f>
        <v>48048187.456767991</v>
      </c>
      <c r="O25" s="13">
        <f>N25/N13</f>
        <v>0.52680950219029443</v>
      </c>
      <c r="P25" s="12">
        <f>SUM(P39:P56)+P26</f>
        <v>48135937.456767991</v>
      </c>
      <c r="Q25" s="13">
        <f>P25/P13</f>
        <v>0.51259703806751422</v>
      </c>
      <c r="R25" s="12">
        <f>SUM(R39:R56)+R26</f>
        <v>48135937.456767991</v>
      </c>
      <c r="S25" s="13">
        <f>R25/R13</f>
        <v>0.51259703806751422</v>
      </c>
      <c r="T25" s="12">
        <f>SUM(T39:T56)+T26</f>
        <v>48068662.456767991</v>
      </c>
      <c r="U25" s="13">
        <f>T25/T13</f>
        <v>0.52341851187734645</v>
      </c>
      <c r="V25" s="12">
        <f>SUM(V39:V56)+V26</f>
        <v>48275167.456767991</v>
      </c>
      <c r="W25" s="13">
        <f>V25/V13</f>
        <v>0.49165054951388115</v>
      </c>
      <c r="X25" s="12">
        <f>SUM(X39:X56)+X26</f>
        <v>47801534.123434663</v>
      </c>
      <c r="Y25" s="13">
        <f>X25/X13</f>
        <v>0.57167471544869042</v>
      </c>
      <c r="Z25" s="12">
        <f>SUM(Z39:Z56)+Z26</f>
        <v>48015492.456767991</v>
      </c>
      <c r="AA25" s="13">
        <f>Z25/Z13</f>
        <v>0.53232253278013297</v>
      </c>
      <c r="AB25" s="12">
        <f t="shared" ref="AB25:AB38" si="1">SUM(D25:Z25)</f>
        <v>582173666.92808628</v>
      </c>
    </row>
    <row r="26" spans="2:28" ht="11.15" customHeight="1" thickTop="1" x14ac:dyDescent="0.25">
      <c r="B26" s="14" t="s">
        <v>17</v>
      </c>
      <c r="C26" s="15"/>
      <c r="D26" s="16">
        <f>SUM(D27:D38)</f>
        <v>27384912.456767995</v>
      </c>
      <c r="E26" s="17">
        <f t="shared" ref="E26:E38" si="2">D26/D$13</f>
        <v>0.292461365893118</v>
      </c>
      <c r="F26" s="16">
        <f>SUM(F27:F38)</f>
        <v>27384912.456767995</v>
      </c>
      <c r="G26" s="17">
        <f t="shared" ref="G26:G38" si="3">F26/F$13</f>
        <v>0.30476442816025634</v>
      </c>
      <c r="H26" s="16">
        <f>SUM(H27:H38)</f>
        <v>27384912.456767995</v>
      </c>
      <c r="I26" s="17">
        <f t="shared" ref="I26:I38" si="4">H26/H$13</f>
        <v>0.29444242798064635</v>
      </c>
      <c r="J26" s="16">
        <f>SUM(J27:J38)</f>
        <v>27384912.456767995</v>
      </c>
      <c r="K26" s="17">
        <f t="shared" ref="K26:K38" si="5">J26/J$13</f>
        <v>0.29455644247357204</v>
      </c>
      <c r="L26" s="16">
        <f>SUM(L27:L38)</f>
        <v>27384912.456767995</v>
      </c>
      <c r="M26" s="17">
        <f t="shared" ref="M26:M38" si="6">L26/L$13</f>
        <v>0.28479671010408081</v>
      </c>
      <c r="N26" s="16">
        <f>SUM(N27:N38)</f>
        <v>27384912.456767995</v>
      </c>
      <c r="O26" s="17">
        <f t="shared" ref="O26:O38" si="7">N26/N$13</f>
        <v>0.30025340938938222</v>
      </c>
      <c r="P26" s="16">
        <f>SUM(P27:P38)</f>
        <v>27384912.456767995</v>
      </c>
      <c r="Q26" s="17">
        <f t="shared" ref="Q26:Q38" si="8">P26/P$13</f>
        <v>0.29162047639946326</v>
      </c>
      <c r="R26" s="16">
        <f>SUM(R27:R38)</f>
        <v>27384912.456767995</v>
      </c>
      <c r="S26" s="17">
        <f t="shared" ref="S26:S38" si="9">R26/R$13</f>
        <v>0.29162047639946326</v>
      </c>
      <c r="T26" s="16">
        <f>SUM(T27:T38)</f>
        <v>27384912.456767995</v>
      </c>
      <c r="U26" s="17">
        <f t="shared" ref="U26:U38" si="10">T26/T$13</f>
        <v>0.29819365452293212</v>
      </c>
      <c r="V26" s="16">
        <f>SUM(V27:V38)</f>
        <v>27384912.456767995</v>
      </c>
      <c r="W26" s="17">
        <f t="shared" ref="W26:W38" si="11">V26/V$13</f>
        <v>0.27889716322199809</v>
      </c>
      <c r="X26" s="16">
        <f>SUM(X27:X38)</f>
        <v>27384912.456767995</v>
      </c>
      <c r="Y26" s="17">
        <f t="shared" ref="Y26:Y38" si="12">X26/X$13</f>
        <v>0.32750543101576235</v>
      </c>
      <c r="Z26" s="16">
        <f>SUM(Z27:Z38)</f>
        <v>27384912.456767995</v>
      </c>
      <c r="AA26" s="17">
        <f t="shared" ref="AA26:AA56" si="13">Z26/Z$13</f>
        <v>0.30360213366705097</v>
      </c>
      <c r="AB26" s="18">
        <f t="shared" si="1"/>
        <v>328618952.74032789</v>
      </c>
    </row>
    <row r="27" spans="2:28" ht="11.15" customHeight="1" x14ac:dyDescent="0.25">
      <c r="B27" s="19" t="s">
        <v>18</v>
      </c>
      <c r="C27" s="20"/>
      <c r="D27" s="21">
        <f>+Nómina!$D$46</f>
        <v>15680000</v>
      </c>
      <c r="E27" s="22">
        <f t="shared" si="2"/>
        <v>0.1674569609979068</v>
      </c>
      <c r="F27" s="21">
        <f>+Nómina!$D$46</f>
        <v>15680000</v>
      </c>
      <c r="G27" s="22">
        <f t="shared" si="3"/>
        <v>0.1745014245014245</v>
      </c>
      <c r="H27" s="21">
        <f>+Nómina!$D$46</f>
        <v>15680000</v>
      </c>
      <c r="I27" s="22" t="e">
        <f>H27/H$12</f>
        <v>#DIV/0!</v>
      </c>
      <c r="J27" s="21">
        <f>+Nómina!$D$46</f>
        <v>15680000</v>
      </c>
      <c r="K27" s="22">
        <f t="shared" si="5"/>
        <v>0.1686565558782403</v>
      </c>
      <c r="L27" s="21">
        <f>+Nómina!$D$46</f>
        <v>15680000</v>
      </c>
      <c r="M27" s="22">
        <f t="shared" si="6"/>
        <v>0.16306834726902117</v>
      </c>
      <c r="N27" s="21">
        <f>+Nómina!$D$46</f>
        <v>15680000</v>
      </c>
      <c r="O27" s="22">
        <f t="shared" si="7"/>
        <v>0.17191851413284215</v>
      </c>
      <c r="P27" s="21">
        <f>+Nómina!$D$46</f>
        <v>15680000</v>
      </c>
      <c r="Q27" s="22">
        <f t="shared" si="8"/>
        <v>0.16697548612442228</v>
      </c>
      <c r="R27" s="21">
        <f>+Nómina!$D$46</f>
        <v>15680000</v>
      </c>
      <c r="S27" s="22">
        <f t="shared" si="9"/>
        <v>0.16697548612442228</v>
      </c>
      <c r="T27" s="21">
        <f>+Nómina!$D$46</f>
        <v>15680000</v>
      </c>
      <c r="U27" s="22">
        <f t="shared" si="10"/>
        <v>0.1707391436909273</v>
      </c>
      <c r="V27" s="21">
        <f>+Nómina!$D$46</f>
        <v>15680000</v>
      </c>
      <c r="W27" s="22">
        <f t="shared" si="11"/>
        <v>0.15969039617068947</v>
      </c>
      <c r="X27" s="21">
        <f>+Nómina!$D$46</f>
        <v>15680000</v>
      </c>
      <c r="Y27" s="22">
        <f t="shared" si="12"/>
        <v>0.18752242375921865</v>
      </c>
      <c r="Z27" s="21">
        <f>+Nómina!$D$46</f>
        <v>15680000</v>
      </c>
      <c r="AA27" s="22">
        <f t="shared" si="13"/>
        <v>0.17383592017738358</v>
      </c>
      <c r="AB27" s="23">
        <f>+D27+F27+H27+J27+L27+P27+R27+T27+V27+X27+Z27+N27</f>
        <v>188160000</v>
      </c>
    </row>
    <row r="28" spans="2:28" ht="11.15" customHeight="1" x14ac:dyDescent="0.25">
      <c r="B28" s="19" t="s">
        <v>19</v>
      </c>
      <c r="C28" s="20"/>
      <c r="D28" s="21">
        <f>+(D27*0.1)</f>
        <v>1568000</v>
      </c>
      <c r="E28" s="22">
        <f t="shared" si="2"/>
        <v>1.674569609979068E-2</v>
      </c>
      <c r="F28" s="21">
        <f>+(F27*0.1)</f>
        <v>1568000</v>
      </c>
      <c r="G28" s="22">
        <f t="shared" si="3"/>
        <v>1.7450142450142449E-2</v>
      </c>
      <c r="H28" s="21">
        <f>+(H27*0.1)</f>
        <v>1568000</v>
      </c>
      <c r="I28" s="22" t="e">
        <f>H28/H$12</f>
        <v>#DIV/0!</v>
      </c>
      <c r="J28" s="21">
        <f>+(J27*0.1)</f>
        <v>1568000</v>
      </c>
      <c r="K28" s="22">
        <f t="shared" si="5"/>
        <v>1.6865655587824029E-2</v>
      </c>
      <c r="L28" s="21">
        <f>+(L27*0.1)</f>
        <v>1568000</v>
      </c>
      <c r="M28" s="22">
        <f t="shared" si="6"/>
        <v>1.6306834726902118E-2</v>
      </c>
      <c r="N28" s="21">
        <f>+(N27*0.1)</f>
        <v>1568000</v>
      </c>
      <c r="O28" s="22">
        <f t="shared" si="7"/>
        <v>1.7191851413284213E-2</v>
      </c>
      <c r="P28" s="21">
        <f>+(P27*0.1)</f>
        <v>1568000</v>
      </c>
      <c r="Q28" s="22">
        <f t="shared" si="8"/>
        <v>1.6697548612442228E-2</v>
      </c>
      <c r="R28" s="21">
        <f>+(R27*0.1)</f>
        <v>1568000</v>
      </c>
      <c r="S28" s="22">
        <f t="shared" si="9"/>
        <v>1.6697548612442228E-2</v>
      </c>
      <c r="T28" s="21">
        <f>+(T27*0.1)</f>
        <v>1568000</v>
      </c>
      <c r="U28" s="22">
        <f t="shared" si="10"/>
        <v>1.7073914369092731E-2</v>
      </c>
      <c r="V28" s="21">
        <f>+(V27*0.1)</f>
        <v>1568000</v>
      </c>
      <c r="W28" s="22">
        <f t="shared" si="11"/>
        <v>1.5969039617068949E-2</v>
      </c>
      <c r="X28" s="21">
        <f>+(X27*0.1)</f>
        <v>1568000</v>
      </c>
      <c r="Y28" s="22">
        <f t="shared" si="12"/>
        <v>1.8752242375921865E-2</v>
      </c>
      <c r="Z28" s="21">
        <f>+(Z27*0.1)</f>
        <v>1568000</v>
      </c>
      <c r="AA28" s="22">
        <f t="shared" si="13"/>
        <v>1.7383592017738359E-2</v>
      </c>
      <c r="AB28" s="23">
        <f>+D28+F28+H28+J28+L28+P28+R28+T28+V28+X28+Z28+N28</f>
        <v>18816000</v>
      </c>
    </row>
    <row r="29" spans="2:28" ht="11.15" customHeight="1" x14ac:dyDescent="0.25">
      <c r="B29" s="19" t="s">
        <v>20</v>
      </c>
      <c r="C29" s="20"/>
      <c r="D29" s="21">
        <f>+'Presupuesto 0'!D28</f>
        <v>1645664</v>
      </c>
      <c r="E29" s="22">
        <f t="shared" si="2"/>
        <v>1.7575120680080311E-2</v>
      </c>
      <c r="F29" s="21">
        <f>+'Presupuesto 0'!F28</f>
        <v>1645664</v>
      </c>
      <c r="G29" s="22">
        <f t="shared" si="3"/>
        <v>1.831445868945869E-2</v>
      </c>
      <c r="H29" s="21">
        <f>+'Presupuesto 0'!H28</f>
        <v>1645664</v>
      </c>
      <c r="I29" s="22" t="e">
        <f>H29/H$12</f>
        <v>#DIV/0!</v>
      </c>
      <c r="J29" s="21">
        <f>+'Presupuesto 0'!J28</f>
        <v>1645664</v>
      </c>
      <c r="K29" s="22">
        <f t="shared" si="5"/>
        <v>1.7701021835000538E-2</v>
      </c>
      <c r="L29" s="21">
        <f>+'Presupuesto 0'!L28</f>
        <v>1645664</v>
      </c>
      <c r="M29" s="22">
        <f t="shared" si="6"/>
        <v>1.7114522234701942E-2</v>
      </c>
      <c r="N29" s="21">
        <f>+'Presupuesto 0'!N28</f>
        <v>1645664</v>
      </c>
      <c r="O29" s="22">
        <f t="shared" si="7"/>
        <v>1.8043374339407496E-2</v>
      </c>
      <c r="P29" s="21">
        <f>+'Presupuesto 0'!P28</f>
        <v>1645664</v>
      </c>
      <c r="Q29" s="22">
        <f t="shared" si="8"/>
        <v>1.752458841820544E-2</v>
      </c>
      <c r="R29" s="21">
        <f>+'Presupuesto 0'!R28</f>
        <v>1645664</v>
      </c>
      <c r="S29" s="22">
        <f t="shared" si="9"/>
        <v>1.752458841820544E-2</v>
      </c>
      <c r="T29" s="21">
        <f>+'Presupuesto 0'!T28</f>
        <v>1645664</v>
      </c>
      <c r="U29" s="22">
        <f t="shared" si="10"/>
        <v>1.7919595801210855E-2</v>
      </c>
      <c r="V29" s="21">
        <f>+'Presupuesto 0'!V28</f>
        <v>1645664</v>
      </c>
      <c r="W29" s="22">
        <f t="shared" si="11"/>
        <v>1.6759995926265404E-2</v>
      </c>
      <c r="X29" s="21">
        <f>+'Presupuesto 0'!X28</f>
        <v>1645664</v>
      </c>
      <c r="Y29" s="22">
        <f t="shared" si="12"/>
        <v>1.9681052421765995E-2</v>
      </c>
      <c r="Z29" s="21">
        <f>+'Presupuesto 0'!Z28</f>
        <v>1645664</v>
      </c>
      <c r="AA29" s="22" t="e">
        <f>Z29/Z$12</f>
        <v>#DIV/0!</v>
      </c>
      <c r="AB29" s="23">
        <f>+D29+F29+H29+J29+L29+P29+R29+T29+V29+X29+Z29+N29</f>
        <v>19747968</v>
      </c>
    </row>
    <row r="30" spans="2:28" ht="11.15" customHeight="1" x14ac:dyDescent="0.25">
      <c r="B30" s="19" t="s">
        <v>21</v>
      </c>
      <c r="C30" s="20"/>
      <c r="D30" s="21">
        <f>0.083333333*($D$27+$D$28)</f>
        <v>1437333.3275839998</v>
      </c>
      <c r="E30" s="22">
        <f t="shared" si="2"/>
        <v>1.5350221363407236E-2</v>
      </c>
      <c r="F30" s="21">
        <f>0.083333333*($D$27+$D$28)</f>
        <v>1437333.3275839998</v>
      </c>
      <c r="G30" s="22">
        <f t="shared" si="3"/>
        <v>1.5995963848646721E-2</v>
      </c>
      <c r="H30" s="21">
        <f>0.083333333*($D$27+$D$28)</f>
        <v>1437333.3275839998</v>
      </c>
      <c r="I30" s="22">
        <f t="shared" si="4"/>
        <v>1.5454200025632752E-2</v>
      </c>
      <c r="J30" s="21">
        <f>0.083333333*($D$27+$D$28)</f>
        <v>1437333.3275839998</v>
      </c>
      <c r="K30" s="22">
        <f t="shared" si="5"/>
        <v>1.5460184226997955E-2</v>
      </c>
      <c r="L30" s="21">
        <f>0.083333333*($D$27+$D$28)</f>
        <v>1437333.3275839998</v>
      </c>
      <c r="M30" s="22">
        <f t="shared" si="6"/>
        <v>1.4947931773201879E-2</v>
      </c>
      <c r="N30" s="21">
        <f>0.083333333*($D$27+$D$28)</f>
        <v>1437333.3275839998</v>
      </c>
      <c r="O30" s="22">
        <f t="shared" si="7"/>
        <v>1.5759197065807071E-2</v>
      </c>
      <c r="P30" s="21">
        <f>0.083333333*($D$27+$D$28)</f>
        <v>1437333.3275839998</v>
      </c>
      <c r="Q30" s="22">
        <f t="shared" si="8"/>
        <v>1.5306086166847697E-2</v>
      </c>
      <c r="R30" s="21">
        <f>0.083333333*($D$27+$D$28)</f>
        <v>1437333.3275839998</v>
      </c>
      <c r="S30" s="22">
        <f t="shared" si="9"/>
        <v>1.5306086166847697E-2</v>
      </c>
      <c r="T30" s="21">
        <f>0.083333333*($D$27+$D$28)</f>
        <v>1437333.3275839998</v>
      </c>
      <c r="U30" s="22">
        <f t="shared" si="10"/>
        <v>1.5651088109063981E-2</v>
      </c>
      <c r="V30" s="21">
        <f>0.083333333*($D$27+$D$28)</f>
        <v>1437333.3275839998</v>
      </c>
      <c r="W30" s="22">
        <f t="shared" si="11"/>
        <v>1.4638286257093389E-2</v>
      </c>
      <c r="X30" s="21">
        <f>0.083333333*($D$27+$D$28)</f>
        <v>1437333.3275839998</v>
      </c>
      <c r="Y30" s="22">
        <f t="shared" si="12"/>
        <v>1.7189555442503484E-2</v>
      </c>
      <c r="Z30" s="21">
        <f>0.083333333*($D$27+$D$28)</f>
        <v>1437333.3275839998</v>
      </c>
      <c r="AA30" s="22">
        <f t="shared" si="13"/>
        <v>1.5934959285853655E-2</v>
      </c>
      <c r="AB30" s="23">
        <f t="shared" si="1"/>
        <v>17248000.1020668</v>
      </c>
    </row>
    <row r="31" spans="2:28" ht="11.15" customHeight="1" x14ac:dyDescent="0.25">
      <c r="B31" s="19" t="s">
        <v>22</v>
      </c>
      <c r="C31" s="20"/>
      <c r="D31" s="21">
        <f>0.083333333*($D$27+$D$28)</f>
        <v>1437333.3275839998</v>
      </c>
      <c r="E31" s="22">
        <f t="shared" si="2"/>
        <v>1.5350221363407236E-2</v>
      </c>
      <c r="F31" s="21">
        <f>0.083333333*($D$27+$D$28)</f>
        <v>1437333.3275839998</v>
      </c>
      <c r="G31" s="22">
        <f t="shared" si="3"/>
        <v>1.5995963848646721E-2</v>
      </c>
      <c r="H31" s="21">
        <f>0.083333333*($D$27+$D$28)</f>
        <v>1437333.3275839998</v>
      </c>
      <c r="I31" s="22">
        <f t="shared" si="4"/>
        <v>1.5454200025632752E-2</v>
      </c>
      <c r="J31" s="21">
        <f>0.083333333*($D$27+$D$28)</f>
        <v>1437333.3275839998</v>
      </c>
      <c r="K31" s="22">
        <f t="shared" si="5"/>
        <v>1.5460184226997955E-2</v>
      </c>
      <c r="L31" s="21">
        <f>0.083333333*($D$27+$D$28)</f>
        <v>1437333.3275839998</v>
      </c>
      <c r="M31" s="22">
        <f t="shared" si="6"/>
        <v>1.4947931773201879E-2</v>
      </c>
      <c r="N31" s="21">
        <f>0.083333333*($D$27+$D$28)</f>
        <v>1437333.3275839998</v>
      </c>
      <c r="O31" s="22">
        <f t="shared" si="7"/>
        <v>1.5759197065807071E-2</v>
      </c>
      <c r="P31" s="21">
        <f>0.083333333*($D$27+$D$28)</f>
        <v>1437333.3275839998</v>
      </c>
      <c r="Q31" s="22">
        <f t="shared" si="8"/>
        <v>1.5306086166847697E-2</v>
      </c>
      <c r="R31" s="21">
        <f>0.083333333*($D$27+$D$28)</f>
        <v>1437333.3275839998</v>
      </c>
      <c r="S31" s="22">
        <f t="shared" si="9"/>
        <v>1.5306086166847697E-2</v>
      </c>
      <c r="T31" s="21">
        <f>0.083333333*($D$27+$D$28)</f>
        <v>1437333.3275839998</v>
      </c>
      <c r="U31" s="22">
        <f t="shared" si="10"/>
        <v>1.5651088109063981E-2</v>
      </c>
      <c r="V31" s="21">
        <f>0.083333333*($D$27+$D$28)</f>
        <v>1437333.3275839998</v>
      </c>
      <c r="W31" s="22">
        <f t="shared" si="11"/>
        <v>1.4638286257093389E-2</v>
      </c>
      <c r="X31" s="21">
        <f>0.083333333*($D$27+$D$28)</f>
        <v>1437333.3275839998</v>
      </c>
      <c r="Y31" s="22">
        <f t="shared" si="12"/>
        <v>1.7189555442503484E-2</v>
      </c>
      <c r="Z31" s="21">
        <f>0.083333333*($D$27+$D$28)</f>
        <v>1437333.3275839998</v>
      </c>
      <c r="AA31" s="22">
        <f t="shared" si="13"/>
        <v>1.5934959285853655E-2</v>
      </c>
      <c r="AB31" s="23">
        <f t="shared" si="1"/>
        <v>17248000.1020668</v>
      </c>
    </row>
    <row r="32" spans="2:28" ht="11.15" customHeight="1" x14ac:dyDescent="0.25">
      <c r="B32" s="19" t="s">
        <v>23</v>
      </c>
      <c r="C32" s="20"/>
      <c r="D32" s="21">
        <f>0.0416667*($D$27+$D$28)</f>
        <v>718667.24160000007</v>
      </c>
      <c r="E32" s="22">
        <f t="shared" si="2"/>
        <v>7.6751168524926321E-3</v>
      </c>
      <c r="F32" s="21">
        <f>0.0416667*($D$27+$D$28)</f>
        <v>718667.24160000007</v>
      </c>
      <c r="G32" s="22">
        <f t="shared" si="3"/>
        <v>7.9979883547008548E-3</v>
      </c>
      <c r="H32" s="21">
        <f>0.0416667*($D$27+$D$28)</f>
        <v>718667.24160000007</v>
      </c>
      <c r="I32" s="22">
        <f t="shared" si="4"/>
        <v>7.7271062254048129E-3</v>
      </c>
      <c r="J32" s="21">
        <f>0.0416667*($D$27+$D$28)</f>
        <v>718667.24160000007</v>
      </c>
      <c r="K32" s="22">
        <f t="shared" si="5"/>
        <v>7.730098328493063E-3</v>
      </c>
      <c r="L32" s="21">
        <f>0.0416667*($D$27+$D$28)</f>
        <v>718667.24160000007</v>
      </c>
      <c r="M32" s="22">
        <f t="shared" si="6"/>
        <v>7.4739718956695379E-3</v>
      </c>
      <c r="N32" s="21">
        <f>0.0416667*($D$27+$D$28)</f>
        <v>718667.24160000007</v>
      </c>
      <c r="O32" s="22">
        <f t="shared" si="7"/>
        <v>7.8796048681007841E-3</v>
      </c>
      <c r="P32" s="21">
        <f>0.0416667*($D$27+$D$28)</f>
        <v>718667.24160000007</v>
      </c>
      <c r="Q32" s="22">
        <f t="shared" si="8"/>
        <v>7.6530492364705136E-3</v>
      </c>
      <c r="R32" s="21">
        <f>0.0416667*($D$27+$D$28)</f>
        <v>718667.24160000007</v>
      </c>
      <c r="S32" s="22">
        <f t="shared" si="9"/>
        <v>7.6530492364705136E-3</v>
      </c>
      <c r="T32" s="21">
        <f>0.0416667*($D$27+$D$28)</f>
        <v>718667.24160000007</v>
      </c>
      <c r="U32" s="22">
        <f t="shared" si="10"/>
        <v>7.8255503462694373E-3</v>
      </c>
      <c r="V32" s="21">
        <f>0.0416667*($D$27+$D$28)</f>
        <v>718667.24160000007</v>
      </c>
      <c r="W32" s="22">
        <f t="shared" si="11"/>
        <v>7.3191490131377952E-3</v>
      </c>
      <c r="X32" s="21">
        <f>0.0416667*($D$27+$D$28)</f>
        <v>718667.24160000007</v>
      </c>
      <c r="Y32" s="22">
        <f t="shared" si="12"/>
        <v>8.5947846314530594E-3</v>
      </c>
      <c r="Z32" s="21">
        <f>0.0416667*($D$27+$D$28)</f>
        <v>718667.24160000007</v>
      </c>
      <c r="AA32" s="22">
        <f t="shared" si="13"/>
        <v>7.9674860487804894E-3</v>
      </c>
      <c r="AB32" s="23">
        <f t="shared" si="1"/>
        <v>8624006.9847294707</v>
      </c>
    </row>
    <row r="33" spans="1:28" ht="11.15" customHeight="1" x14ac:dyDescent="0.25">
      <c r="B33" s="19" t="s">
        <v>24</v>
      </c>
      <c r="C33" s="20"/>
      <c r="D33" s="21">
        <f>0.00522*(D27+D28)</f>
        <v>90034.559999999998</v>
      </c>
      <c r="E33" s="22">
        <f t="shared" si="2"/>
        <v>9.6153787004998078E-4</v>
      </c>
      <c r="F33" s="21">
        <f>0.00522*(F27+F28)</f>
        <v>90034.559999999998</v>
      </c>
      <c r="G33" s="22">
        <f t="shared" si="3"/>
        <v>1.0019871794871794E-3</v>
      </c>
      <c r="H33" s="21">
        <f>0.00522*(H27+H28)</f>
        <v>90034.559999999998</v>
      </c>
      <c r="I33" s="22">
        <f t="shared" si="4"/>
        <v>9.680510934778401E-4</v>
      </c>
      <c r="J33" s="21">
        <f>0.00522*(J27+J28)</f>
        <v>90034.559999999998</v>
      </c>
      <c r="K33" s="22">
        <f t="shared" si="5"/>
        <v>9.6842594385285576E-4</v>
      </c>
      <c r="L33" s="21">
        <f>0.00522*(L27+L28)</f>
        <v>90034.559999999998</v>
      </c>
      <c r="M33" s="22">
        <f t="shared" si="6"/>
        <v>9.3633845001871955E-4</v>
      </c>
      <c r="N33" s="21">
        <f>0.00522*(N27+N28)</f>
        <v>90034.559999999998</v>
      </c>
      <c r="O33" s="22">
        <f t="shared" si="7"/>
        <v>9.8715610815077945E-4</v>
      </c>
      <c r="P33" s="21">
        <f>0.00522*(P27+P28)</f>
        <v>90034.559999999998</v>
      </c>
      <c r="Q33" s="22">
        <f t="shared" si="8"/>
        <v>9.587732413264328E-4</v>
      </c>
      <c r="R33" s="21">
        <f>0.00522*(R27+R28)</f>
        <v>90034.559999999998</v>
      </c>
      <c r="S33" s="22">
        <f t="shared" si="9"/>
        <v>9.587732413264328E-4</v>
      </c>
      <c r="T33" s="21">
        <f>0.00522*(T27+T28)</f>
        <v>90034.559999999998</v>
      </c>
      <c r="U33" s="22">
        <f t="shared" si="10"/>
        <v>9.8038416307330459E-4</v>
      </c>
      <c r="V33" s="21">
        <f>0.00522*(V27+V28)</f>
        <v>90034.559999999998</v>
      </c>
      <c r="W33" s="22">
        <f t="shared" si="11"/>
        <v>9.1694225481209896E-4</v>
      </c>
      <c r="X33" s="21">
        <f>0.00522*(X27+X28)</f>
        <v>90034.559999999998</v>
      </c>
      <c r="Y33" s="22">
        <f t="shared" si="12"/>
        <v>1.0767537572254334E-3</v>
      </c>
      <c r="Z33" s="21">
        <f>0.00522*(Z27+Z28)</f>
        <v>90034.559999999998</v>
      </c>
      <c r="AA33" s="22">
        <f t="shared" si="13"/>
        <v>9.9816585365853651E-4</v>
      </c>
      <c r="AB33" s="23">
        <f t="shared" si="1"/>
        <v>1080414.7307151232</v>
      </c>
    </row>
    <row r="34" spans="1:28" ht="11.15" customHeight="1" x14ac:dyDescent="0.25">
      <c r="B34" s="19" t="s">
        <v>25</v>
      </c>
      <c r="C34" s="20"/>
      <c r="D34" s="21">
        <f>0.08*(D27+D28)</f>
        <v>1379840</v>
      </c>
      <c r="E34" s="22">
        <f t="shared" si="2"/>
        <v>1.4736212567815798E-2</v>
      </c>
      <c r="F34" s="21">
        <f>0.08*(F27+F28)</f>
        <v>1379840</v>
      </c>
      <c r="G34" s="22">
        <f t="shared" si="3"/>
        <v>1.5356125356125357E-2</v>
      </c>
      <c r="H34" s="21">
        <f>0.08*(H27+H28)</f>
        <v>1379840</v>
      </c>
      <c r="I34" s="22">
        <f t="shared" si="4"/>
        <v>1.4836032083951574E-2</v>
      </c>
      <c r="J34" s="21">
        <f>0.08*(J27+J28)</f>
        <v>1379840</v>
      </c>
      <c r="K34" s="22">
        <f t="shared" si="5"/>
        <v>1.4841776917285146E-2</v>
      </c>
      <c r="L34" s="21">
        <f>0.08*(L27+L28)</f>
        <v>1379840</v>
      </c>
      <c r="M34" s="22">
        <f t="shared" si="6"/>
        <v>1.4350014559673864E-2</v>
      </c>
      <c r="N34" s="21">
        <f>0.08*(N27+N28)</f>
        <v>1379840</v>
      </c>
      <c r="O34" s="22">
        <f t="shared" si="7"/>
        <v>1.5128829243690108E-2</v>
      </c>
      <c r="P34" s="21">
        <f>0.08*(P27+P28)</f>
        <v>1379840</v>
      </c>
      <c r="Q34" s="22">
        <f t="shared" si="8"/>
        <v>1.4693842778949162E-2</v>
      </c>
      <c r="R34" s="21">
        <f>0.08*(R27+R28)</f>
        <v>1379840</v>
      </c>
      <c r="S34" s="22">
        <f t="shared" si="9"/>
        <v>1.4693842778949162E-2</v>
      </c>
      <c r="T34" s="21">
        <f>0.08*(T27+T28)</f>
        <v>1379840</v>
      </c>
      <c r="U34" s="22">
        <f t="shared" si="10"/>
        <v>1.5025044644801602E-2</v>
      </c>
      <c r="V34" s="21">
        <f>0.08*(V27+V28)</f>
        <v>1379840</v>
      </c>
      <c r="W34" s="22">
        <f t="shared" si="11"/>
        <v>1.4052754863020675E-2</v>
      </c>
      <c r="X34" s="21">
        <f>0.08*(X27+X28)</f>
        <v>1379840</v>
      </c>
      <c r="Y34" s="22">
        <f t="shared" si="12"/>
        <v>1.6501973290811239E-2</v>
      </c>
      <c r="Z34" s="21">
        <f>0.08*(Z27+Z28)</f>
        <v>1379840</v>
      </c>
      <c r="AA34" s="22">
        <f t="shared" si="13"/>
        <v>1.5297560975609756E-2</v>
      </c>
      <c r="AB34" s="23">
        <f t="shared" si="1"/>
        <v>16558080.164216449</v>
      </c>
    </row>
    <row r="35" spans="1:28" ht="11.15" customHeight="1" x14ac:dyDescent="0.25">
      <c r="B35" s="19" t="s">
        <v>26</v>
      </c>
      <c r="C35" s="20"/>
      <c r="D35" s="21">
        <f>0.10875*(D27+D28)</f>
        <v>1875720</v>
      </c>
      <c r="E35" s="22">
        <f t="shared" si="2"/>
        <v>2.0032038959374599E-2</v>
      </c>
      <c r="F35" s="21">
        <f>0.10875*(F27+F28)</f>
        <v>1875720</v>
      </c>
      <c r="G35" s="22">
        <f t="shared" si="3"/>
        <v>2.0874732905982907E-2</v>
      </c>
      <c r="H35" s="21">
        <f>0.10875*(H27+H28)</f>
        <v>1875720</v>
      </c>
      <c r="I35" s="22">
        <f t="shared" si="4"/>
        <v>2.0167731114121668E-2</v>
      </c>
      <c r="J35" s="21">
        <f>0.10875*(J27+J28)</f>
        <v>1875720</v>
      </c>
      <c r="K35" s="22">
        <f t="shared" si="5"/>
        <v>2.0175540496934496E-2</v>
      </c>
      <c r="L35" s="21">
        <f>0.10875*(L27+L28)</f>
        <v>1875720</v>
      </c>
      <c r="M35" s="22">
        <f t="shared" si="6"/>
        <v>1.9507051042056658E-2</v>
      </c>
      <c r="N35" s="21">
        <f>0.10875*(N27+N28)</f>
        <v>1875720</v>
      </c>
      <c r="O35" s="22">
        <f t="shared" si="7"/>
        <v>2.056575225314124E-2</v>
      </c>
      <c r="P35" s="21">
        <f>0.10875*(P27+P28)</f>
        <v>1875720</v>
      </c>
      <c r="Q35" s="22">
        <f t="shared" si="8"/>
        <v>1.9974442527634018E-2</v>
      </c>
      <c r="R35" s="21">
        <f>0.10875*(R27+R28)</f>
        <v>1875720</v>
      </c>
      <c r="S35" s="22">
        <f t="shared" si="9"/>
        <v>1.9974442527634018E-2</v>
      </c>
      <c r="T35" s="21">
        <f>0.10875*(T27+T28)</f>
        <v>1875720</v>
      </c>
      <c r="U35" s="22">
        <f t="shared" si="10"/>
        <v>2.0424670064027178E-2</v>
      </c>
      <c r="V35" s="21">
        <f>0.10875*(V27+V28)</f>
        <v>1875720</v>
      </c>
      <c r="W35" s="22">
        <f t="shared" si="11"/>
        <v>1.9102963641918731E-2</v>
      </c>
      <c r="X35" s="21">
        <f>0.10875*(X27+X28)</f>
        <v>1875720</v>
      </c>
      <c r="Y35" s="22">
        <f t="shared" si="12"/>
        <v>2.243236994219653E-2</v>
      </c>
      <c r="Z35" s="21">
        <f>0.10875*(Z27+Z28)</f>
        <v>1875720</v>
      </c>
      <c r="AA35" s="22">
        <f t="shared" si="13"/>
        <v>2.0795121951219513E-2</v>
      </c>
      <c r="AB35" s="23">
        <f t="shared" si="1"/>
        <v>22508640.223231733</v>
      </c>
    </row>
    <row r="36" spans="1:28" ht="11.15" customHeight="1" x14ac:dyDescent="0.25">
      <c r="B36" s="19" t="s">
        <v>27</v>
      </c>
      <c r="C36" s="20"/>
      <c r="D36" s="21">
        <f>0.04*($D$27+$D$28)</f>
        <v>689920</v>
      </c>
      <c r="E36" s="22">
        <f t="shared" si="2"/>
        <v>7.3681062839078991E-3</v>
      </c>
      <c r="F36" s="21">
        <f>0.04*($D$27+$D$28)</f>
        <v>689920</v>
      </c>
      <c r="G36" s="22">
        <f t="shared" si="3"/>
        <v>7.6780626780626783E-3</v>
      </c>
      <c r="H36" s="21">
        <f>0.04*($D$27+$D$28)</f>
        <v>689920</v>
      </c>
      <c r="I36" s="22">
        <f t="shared" si="4"/>
        <v>7.4180160419757869E-3</v>
      </c>
      <c r="J36" s="21">
        <f>0.04*($D$27+$D$28)</f>
        <v>689920</v>
      </c>
      <c r="K36" s="22">
        <f t="shared" si="5"/>
        <v>7.4208884586425732E-3</v>
      </c>
      <c r="L36" s="21">
        <f>0.04*($D$27+$D$28)</f>
        <v>689920</v>
      </c>
      <c r="M36" s="22">
        <f t="shared" si="6"/>
        <v>7.175007279836932E-3</v>
      </c>
      <c r="N36" s="21">
        <f>0.04*($D$27+$D$28)</f>
        <v>689920</v>
      </c>
      <c r="O36" s="22">
        <f t="shared" si="7"/>
        <v>7.564414621845054E-3</v>
      </c>
      <c r="P36" s="21">
        <f>0.04*($D$27+$D$28)</f>
        <v>689920</v>
      </c>
      <c r="Q36" s="22">
        <f t="shared" si="8"/>
        <v>7.3469213894745812E-3</v>
      </c>
      <c r="R36" s="21">
        <f>0.04*($D$27+$D$28)</f>
        <v>689920</v>
      </c>
      <c r="S36" s="22">
        <f t="shared" si="9"/>
        <v>7.3469213894745812E-3</v>
      </c>
      <c r="T36" s="21">
        <f>0.04*($D$27+$D$28)</f>
        <v>689920</v>
      </c>
      <c r="U36" s="22">
        <f t="shared" si="10"/>
        <v>7.5125223224008011E-3</v>
      </c>
      <c r="V36" s="21">
        <f>0.04*($D$27+$D$28)</f>
        <v>689920</v>
      </c>
      <c r="W36" s="22">
        <f t="shared" si="11"/>
        <v>7.0263774315103373E-3</v>
      </c>
      <c r="X36" s="21">
        <f>0.04*($D$27+$D$28)</f>
        <v>689920</v>
      </c>
      <c r="Y36" s="22">
        <f t="shared" si="12"/>
        <v>8.2509866454056197E-3</v>
      </c>
      <c r="Z36" s="21">
        <f>0.04*($D$27+$D$28)</f>
        <v>689920</v>
      </c>
      <c r="AA36" s="22">
        <f t="shared" si="13"/>
        <v>7.6487804878048781E-3</v>
      </c>
      <c r="AB36" s="23">
        <f t="shared" si="1"/>
        <v>8279040.0821082247</v>
      </c>
    </row>
    <row r="37" spans="1:28" ht="11.15" customHeight="1" x14ac:dyDescent="0.25">
      <c r="B37" s="19" t="s">
        <v>28</v>
      </c>
      <c r="C37" s="20"/>
      <c r="D37" s="21">
        <f>0.02*($D$27+$D$28)</f>
        <v>344960</v>
      </c>
      <c r="E37" s="22">
        <f t="shared" si="2"/>
        <v>3.6840531419539495E-3</v>
      </c>
      <c r="F37" s="21">
        <f>0.02*($D$27+$D$28)</f>
        <v>344960</v>
      </c>
      <c r="G37" s="22">
        <f t="shared" si="3"/>
        <v>3.8390313390313392E-3</v>
      </c>
      <c r="H37" s="21">
        <f>0.02*($D$27+$D$28)</f>
        <v>344960</v>
      </c>
      <c r="I37" s="22">
        <f t="shared" si="4"/>
        <v>3.7090080209878935E-3</v>
      </c>
      <c r="J37" s="21">
        <f>0.02*($D$27+$D$28)</f>
        <v>344960</v>
      </c>
      <c r="K37" s="22">
        <f t="shared" si="5"/>
        <v>3.7104442293212866E-3</v>
      </c>
      <c r="L37" s="21">
        <f>0.02*($D$27+$D$28)</f>
        <v>344960</v>
      </c>
      <c r="M37" s="22">
        <f t="shared" si="6"/>
        <v>3.587503639918466E-3</v>
      </c>
      <c r="N37" s="21">
        <f>0.02*($D$27+$D$28)</f>
        <v>344960</v>
      </c>
      <c r="O37" s="22">
        <f t="shared" si="7"/>
        <v>3.782207310922527E-3</v>
      </c>
      <c r="P37" s="21">
        <f>0.02*($D$27+$D$28)</f>
        <v>344960</v>
      </c>
      <c r="Q37" s="22">
        <f t="shared" si="8"/>
        <v>3.6734606947372906E-3</v>
      </c>
      <c r="R37" s="21">
        <f>0.02*($D$27+$D$28)</f>
        <v>344960</v>
      </c>
      <c r="S37" s="22">
        <f t="shared" si="9"/>
        <v>3.6734606947372906E-3</v>
      </c>
      <c r="T37" s="21">
        <f>0.02*($D$27+$D$28)</f>
        <v>344960</v>
      </c>
      <c r="U37" s="22">
        <f t="shared" si="10"/>
        <v>3.7562611612004006E-3</v>
      </c>
      <c r="V37" s="21">
        <f>0.02*($D$27+$D$28)</f>
        <v>344960</v>
      </c>
      <c r="W37" s="22">
        <f t="shared" si="11"/>
        <v>3.5131887157551687E-3</v>
      </c>
      <c r="X37" s="21">
        <f>0.02*($D$27+$D$28)</f>
        <v>344960</v>
      </c>
      <c r="Y37" s="22">
        <f t="shared" si="12"/>
        <v>4.1254933227028098E-3</v>
      </c>
      <c r="Z37" s="21">
        <f>0.02*($D$27+$D$28)</f>
        <v>344960</v>
      </c>
      <c r="AA37" s="22">
        <f t="shared" si="13"/>
        <v>3.824390243902439E-3</v>
      </c>
      <c r="AB37" s="23">
        <f t="shared" si="1"/>
        <v>4139520.0410541124</v>
      </c>
    </row>
    <row r="38" spans="1:28" ht="11.15" customHeight="1" thickBot="1" x14ac:dyDescent="0.3">
      <c r="B38" s="24" t="s">
        <v>29</v>
      </c>
      <c r="C38" s="25"/>
      <c r="D38" s="26">
        <f>0.03*($D$27+$D$28)</f>
        <v>517440</v>
      </c>
      <c r="E38" s="27">
        <f t="shared" si="2"/>
        <v>5.5260797129309241E-3</v>
      </c>
      <c r="F38" s="26">
        <f>0.03*($D$27+$D$28)</f>
        <v>517440</v>
      </c>
      <c r="G38" s="27">
        <f t="shared" si="3"/>
        <v>5.7585470085470087E-3</v>
      </c>
      <c r="H38" s="26">
        <f>0.03*($D$27+$D$28)</f>
        <v>517440</v>
      </c>
      <c r="I38" s="27">
        <f t="shared" si="4"/>
        <v>5.5635120314818402E-3</v>
      </c>
      <c r="J38" s="26">
        <f>0.03*($D$27+$D$28)</f>
        <v>517440</v>
      </c>
      <c r="K38" s="27">
        <f t="shared" si="5"/>
        <v>5.5656663439819292E-3</v>
      </c>
      <c r="L38" s="26">
        <f>0.03*($D$27+$D$28)</f>
        <v>517440</v>
      </c>
      <c r="M38" s="27">
        <f t="shared" si="6"/>
        <v>5.381255459877699E-3</v>
      </c>
      <c r="N38" s="26">
        <f>0.03*($D$27+$D$28)</f>
        <v>517440</v>
      </c>
      <c r="O38" s="27">
        <f t="shared" si="7"/>
        <v>5.6733109663837907E-3</v>
      </c>
      <c r="P38" s="26">
        <f>0.03*($D$27+$D$28)</f>
        <v>517440</v>
      </c>
      <c r="Q38" s="27">
        <f t="shared" si="8"/>
        <v>5.5101910421059361E-3</v>
      </c>
      <c r="R38" s="26">
        <f>0.03*($D$27+$D$28)</f>
        <v>517440</v>
      </c>
      <c r="S38" s="27">
        <f t="shared" si="9"/>
        <v>5.5101910421059361E-3</v>
      </c>
      <c r="T38" s="26">
        <f>0.03*($D$27+$D$28)</f>
        <v>517440</v>
      </c>
      <c r="U38" s="27">
        <f t="shared" si="10"/>
        <v>5.6343917418006009E-3</v>
      </c>
      <c r="V38" s="26">
        <f>0.03*($D$27+$D$28)</f>
        <v>517440</v>
      </c>
      <c r="W38" s="27">
        <f t="shared" si="11"/>
        <v>5.2697830736327528E-3</v>
      </c>
      <c r="X38" s="26">
        <f>0.03*($D$27+$D$28)</f>
        <v>517440</v>
      </c>
      <c r="Y38" s="27">
        <f t="shared" si="12"/>
        <v>6.1882399840542156E-3</v>
      </c>
      <c r="Z38" s="26">
        <f>0.03*($D$27+$D$28)</f>
        <v>517440</v>
      </c>
      <c r="AA38" s="27">
        <f t="shared" si="13"/>
        <v>5.7365853658536588E-3</v>
      </c>
      <c r="AB38" s="28">
        <f t="shared" si="1"/>
        <v>6209280.0615811683</v>
      </c>
    </row>
    <row r="39" spans="1:28" ht="11.15" customHeight="1" thickTop="1" x14ac:dyDescent="0.25">
      <c r="B39" s="68" t="str">
        <f>+'Presupuesto 0'!B38</f>
        <v>PAGO OFICINAS</v>
      </c>
      <c r="C39" s="74"/>
      <c r="D39" s="54">
        <f>($D5+D6+D7)*0.05</f>
        <v>4681800</v>
      </c>
      <c r="E39" s="53">
        <f>+E13*0.04</f>
        <v>0</v>
      </c>
      <c r="F39" s="54">
        <f>($D5+F6+F7)*0.05</f>
        <v>4606200</v>
      </c>
      <c r="G39" s="53">
        <f t="shared" ref="G39:AA39" si="14">+G13*$C$39</f>
        <v>0</v>
      </c>
      <c r="H39" s="54">
        <f>($D5+H6+H7)*0.05</f>
        <v>4669200</v>
      </c>
      <c r="I39" s="53">
        <f t="shared" si="14"/>
        <v>0</v>
      </c>
      <c r="J39" s="54">
        <f>($D5+J6+J7)*0.05</f>
        <v>4668480</v>
      </c>
      <c r="K39" s="53">
        <f t="shared" si="14"/>
        <v>0</v>
      </c>
      <c r="L39" s="54">
        <f>($D5+L6+L7)*0.05</f>
        <v>4732200</v>
      </c>
      <c r="M39" s="53">
        <f t="shared" si="14"/>
        <v>0</v>
      </c>
      <c r="N39" s="54">
        <f>($D5+N6+N7)*0.05</f>
        <v>4633200</v>
      </c>
      <c r="O39" s="53">
        <f t="shared" si="14"/>
        <v>0</v>
      </c>
      <c r="P39" s="54">
        <f>($D5+P6+P7)*0.05</f>
        <v>4687200</v>
      </c>
      <c r="Q39" s="53">
        <f t="shared" si="14"/>
        <v>0</v>
      </c>
      <c r="R39" s="54">
        <f>($D5+R6+R7)*0.05</f>
        <v>4687200</v>
      </c>
      <c r="S39" s="53">
        <f t="shared" si="14"/>
        <v>0</v>
      </c>
      <c r="T39" s="54">
        <f>($D5+T6+T7)*0.05</f>
        <v>4645800</v>
      </c>
      <c r="U39" s="53">
        <f t="shared" si="14"/>
        <v>0</v>
      </c>
      <c r="V39" s="54">
        <f>($D5+V6+V7)*0.05</f>
        <v>4772880</v>
      </c>
      <c r="W39" s="53">
        <f t="shared" si="14"/>
        <v>0</v>
      </c>
      <c r="X39" s="54">
        <f>($D5+X6+X7)*0.05</f>
        <v>4481413.333333334</v>
      </c>
      <c r="Y39" s="53">
        <f t="shared" si="14"/>
        <v>0</v>
      </c>
      <c r="Z39" s="54">
        <f>($D5+Z6+Z7)*0.05</f>
        <v>4613080</v>
      </c>
      <c r="AA39" s="42">
        <f t="shared" si="14"/>
        <v>0</v>
      </c>
      <c r="AB39" s="43">
        <f>+D39+F39+H39+J39+L39+P39+R39+T39+V39+X39+Z39+N39</f>
        <v>55878653.333333336</v>
      </c>
    </row>
    <row r="40" spans="1:28" ht="11.15" customHeight="1" x14ac:dyDescent="0.25">
      <c r="B40" s="69" t="s">
        <v>30</v>
      </c>
      <c r="C40" s="56"/>
      <c r="D40" s="54">
        <f>(D5+D6+D7)*0.01</f>
        <v>936360</v>
      </c>
      <c r="E40" s="44">
        <f>D40/D$13</f>
        <v>0.01</v>
      </c>
      <c r="F40" s="54">
        <f>(F5+F6+F7)*0.01</f>
        <v>898560</v>
      </c>
      <c r="G40" s="44">
        <f>F40/F$13</f>
        <v>0.01</v>
      </c>
      <c r="H40" s="54">
        <f>(H5+H6+H7)*0.01</f>
        <v>930060</v>
      </c>
      <c r="I40" s="44">
        <f>H40/H$13</f>
        <v>0.01</v>
      </c>
      <c r="J40" s="54">
        <f>(J5+J6+J7)*0.01</f>
        <v>929700</v>
      </c>
      <c r="K40" s="44">
        <f>J40/J$13</f>
        <v>0.01</v>
      </c>
      <c r="L40" s="54">
        <f>(L5+L6+L7)*0.01</f>
        <v>961560</v>
      </c>
      <c r="M40" s="44">
        <f>L40/L$13</f>
        <v>0.01</v>
      </c>
      <c r="N40" s="54">
        <f>(N5+N6+N7)*0.01</f>
        <v>912060</v>
      </c>
      <c r="O40" s="44">
        <f>N40/N$13</f>
        <v>0.01</v>
      </c>
      <c r="P40" s="54">
        <f>(P5+P6+P7)*0.01</f>
        <v>939060</v>
      </c>
      <c r="Q40" s="44">
        <f>P40/P$13</f>
        <v>0.01</v>
      </c>
      <c r="R40" s="54">
        <f>(R5+R6+R7)*0.01</f>
        <v>939060</v>
      </c>
      <c r="S40" s="44">
        <f>R40/R$13</f>
        <v>0.01</v>
      </c>
      <c r="T40" s="54">
        <f>(T5+T6+T7)*0.01</f>
        <v>918360</v>
      </c>
      <c r="U40" s="44">
        <f>T40/T$13</f>
        <v>0.01</v>
      </c>
      <c r="V40" s="54">
        <f>(V5+V6+V7)*0.01</f>
        <v>981900</v>
      </c>
      <c r="W40" s="44">
        <f>V40/V$13</f>
        <v>0.01</v>
      </c>
      <c r="X40" s="54">
        <f>(X5+X6+X7)*0.01</f>
        <v>836166.66666666674</v>
      </c>
      <c r="Y40" s="44">
        <f>X40/X$13</f>
        <v>0.01</v>
      </c>
      <c r="Z40" s="54">
        <f>(Z5+Z6+Z7)*0.01</f>
        <v>902000</v>
      </c>
      <c r="AA40" s="44">
        <f t="shared" si="13"/>
        <v>0.01</v>
      </c>
      <c r="AB40" s="43">
        <f>+D40+F40+H40+J40+L40+P40+R40+T40+V40+X40+Z40+N40</f>
        <v>11084846.666666666</v>
      </c>
    </row>
    <row r="41" spans="1:28" ht="11.15" customHeight="1" x14ac:dyDescent="0.25">
      <c r="B41" s="69" t="s">
        <v>31</v>
      </c>
      <c r="C41" s="56"/>
      <c r="D41" s="54">
        <f>(D5+D6+D7)*0.0025</f>
        <v>234090</v>
      </c>
      <c r="E41" s="44"/>
      <c r="F41" s="54">
        <f>(F5+F6+F7)*0.0025</f>
        <v>224640</v>
      </c>
      <c r="G41" s="44"/>
      <c r="H41" s="54">
        <f>(H5+H6+H7)*0.0025</f>
        <v>232515</v>
      </c>
      <c r="I41" s="44"/>
      <c r="J41" s="54">
        <f>(J5+J6+J7)*0.0025</f>
        <v>232425</v>
      </c>
      <c r="K41" s="44"/>
      <c r="L41" s="54">
        <f>(L5+L6+L7)*0.0025</f>
        <v>240390</v>
      </c>
      <c r="M41" s="44"/>
      <c r="N41" s="54">
        <f>(N5+N6+N7)*0.0025</f>
        <v>228015</v>
      </c>
      <c r="O41" s="44"/>
      <c r="P41" s="54">
        <f>(P5+P6+P7)*0.0025</f>
        <v>234765</v>
      </c>
      <c r="Q41" s="44"/>
      <c r="R41" s="54">
        <f>(R5+R6+R7)*0.0025</f>
        <v>234765</v>
      </c>
      <c r="S41" s="44"/>
      <c r="T41" s="54">
        <f>(T5+T6+T7)*0.0025</f>
        <v>229590</v>
      </c>
      <c r="U41" s="44"/>
      <c r="V41" s="54">
        <f>(V5+V6+V7)*0.0025</f>
        <v>245475</v>
      </c>
      <c r="W41" s="44"/>
      <c r="X41" s="54">
        <f>(X5+X6+X7)*0.0025</f>
        <v>209041.66666666669</v>
      </c>
      <c r="Y41" s="44"/>
      <c r="Z41" s="54">
        <f>(Z5+Z6+Z7)*0.0025</f>
        <v>225500</v>
      </c>
      <c r="AA41" s="44">
        <f t="shared" si="13"/>
        <v>2.5000000000000001E-3</v>
      </c>
      <c r="AB41" s="43">
        <f>SUM(D41:Z41)</f>
        <v>2771211.6666666665</v>
      </c>
    </row>
    <row r="42" spans="1:28" ht="11.15" customHeight="1" x14ac:dyDescent="0.25">
      <c r="A42" s="107" t="s">
        <v>66</v>
      </c>
      <c r="B42" s="69" t="s">
        <v>32</v>
      </c>
      <c r="C42" s="56"/>
      <c r="D42" s="54">
        <f>+Nómina!$D$51</f>
        <v>7140000</v>
      </c>
      <c r="E42" s="54">
        <v>1000000</v>
      </c>
      <c r="F42" s="54">
        <f>+Nómina!$D$51</f>
        <v>7140000</v>
      </c>
      <c r="G42" s="54">
        <v>1000000</v>
      </c>
      <c r="H42" s="54">
        <f>+Nómina!$D$51</f>
        <v>7140000</v>
      </c>
      <c r="I42" s="54">
        <v>1000000</v>
      </c>
      <c r="J42" s="54">
        <f>+Nómina!$D$51</f>
        <v>7140000</v>
      </c>
      <c r="K42" s="54">
        <v>1000000</v>
      </c>
      <c r="L42" s="54">
        <f>+Nómina!$D$51</f>
        <v>7140000</v>
      </c>
      <c r="M42" s="54">
        <v>1000000</v>
      </c>
      <c r="N42" s="54">
        <f>+Nómina!$D$51</f>
        <v>7140000</v>
      </c>
      <c r="O42" s="54">
        <v>1000000</v>
      </c>
      <c r="P42" s="54">
        <f>+Nómina!$D$51</f>
        <v>7140000</v>
      </c>
      <c r="Q42" s="54">
        <v>1000000</v>
      </c>
      <c r="R42" s="54">
        <f>+Nómina!$D$51</f>
        <v>7140000</v>
      </c>
      <c r="S42" s="54">
        <v>1000000</v>
      </c>
      <c r="T42" s="54">
        <f>+Nómina!$D$51</f>
        <v>7140000</v>
      </c>
      <c r="U42" s="54">
        <v>1000000</v>
      </c>
      <c r="V42" s="54">
        <f>+Nómina!$D$51</f>
        <v>7140000</v>
      </c>
      <c r="W42" s="54">
        <v>1000000</v>
      </c>
      <c r="X42" s="54">
        <f>+Nómina!$D$51</f>
        <v>7140000</v>
      </c>
      <c r="Y42" s="54">
        <v>1000000</v>
      </c>
      <c r="Z42" s="54">
        <f>+Nómina!$D$51</f>
        <v>7140000</v>
      </c>
      <c r="AA42" s="44">
        <f t="shared" si="13"/>
        <v>7.9157427937915747E-2</v>
      </c>
      <c r="AB42" s="43">
        <f>+D42+F42+H42+J42+L42+P42+R42+T42+V42+X42+Z42+N42</f>
        <v>85680000</v>
      </c>
    </row>
    <row r="43" spans="1:28" ht="11.15" hidden="1" customHeight="1" x14ac:dyDescent="0.25">
      <c r="A43" s="108"/>
      <c r="B43" s="69" t="s">
        <v>33</v>
      </c>
      <c r="C43" s="56"/>
      <c r="D43" s="54"/>
      <c r="E43" s="44"/>
      <c r="F43" s="54"/>
      <c r="G43" s="44"/>
      <c r="H43" s="54"/>
      <c r="I43" s="44"/>
      <c r="J43" s="54"/>
      <c r="K43" s="44"/>
      <c r="L43" s="54"/>
      <c r="M43" s="44"/>
      <c r="N43" s="54"/>
      <c r="O43" s="44"/>
      <c r="P43" s="54"/>
      <c r="Q43" s="44"/>
      <c r="R43" s="54"/>
      <c r="S43" s="44"/>
      <c r="T43" s="54"/>
      <c r="U43" s="44"/>
      <c r="V43" s="54"/>
      <c r="W43" s="44"/>
      <c r="X43" s="54"/>
      <c r="Y43" s="44"/>
      <c r="Z43" s="54"/>
      <c r="AA43" s="44">
        <f t="shared" si="13"/>
        <v>0</v>
      </c>
      <c r="AB43" s="43">
        <f t="shared" ref="AB43:AB56" si="15">+D43+F43+H43+J43+L43+P43+R43+T43+V43+X43+Z43+N43</f>
        <v>0</v>
      </c>
    </row>
    <row r="44" spans="1:28" ht="11.15" customHeight="1" x14ac:dyDescent="0.25">
      <c r="A44" s="108"/>
      <c r="B44" s="69" t="s">
        <v>34</v>
      </c>
      <c r="C44" s="56"/>
      <c r="D44" s="54">
        <f>+Nómina!$D$52</f>
        <v>400000</v>
      </c>
      <c r="E44" s="44" t="e">
        <f t="shared" ref="E44:E56" si="16">D44/D$12</f>
        <v>#DIV/0!</v>
      </c>
      <c r="F44" s="54">
        <f>+Nómina!$D$52</f>
        <v>400000</v>
      </c>
      <c r="G44" s="44" t="e">
        <f t="shared" ref="G44:G56" si="17">F44/F$12</f>
        <v>#DIV/0!</v>
      </c>
      <c r="H44" s="54">
        <f>+Nómina!$D$52</f>
        <v>400000</v>
      </c>
      <c r="I44" s="44" t="e">
        <f t="shared" ref="I44:I56" si="18">H44/H$12</f>
        <v>#DIV/0!</v>
      </c>
      <c r="J44" s="54">
        <f>+Nómina!$D$52</f>
        <v>400000</v>
      </c>
      <c r="K44" s="44" t="e">
        <f t="shared" ref="K44:K56" si="19">J44/J$12</f>
        <v>#DIV/0!</v>
      </c>
      <c r="L44" s="54">
        <f>+Nómina!$D$52</f>
        <v>400000</v>
      </c>
      <c r="M44" s="44" t="e">
        <f t="shared" ref="M44:M56" si="20">L44/L$12</f>
        <v>#DIV/0!</v>
      </c>
      <c r="N44" s="54">
        <f>+Nómina!$D$52</f>
        <v>400000</v>
      </c>
      <c r="O44" s="44" t="e">
        <f t="shared" ref="O44:O56" si="21">N44/N$12</f>
        <v>#DIV/0!</v>
      </c>
      <c r="P44" s="54">
        <f>+Nómina!$D$52</f>
        <v>400000</v>
      </c>
      <c r="Q44" s="44" t="e">
        <f t="shared" ref="Q44:Q56" si="22">P44/P$12</f>
        <v>#DIV/0!</v>
      </c>
      <c r="R44" s="54">
        <f>+Nómina!$D$52</f>
        <v>400000</v>
      </c>
      <c r="S44" s="44" t="e">
        <f t="shared" ref="S44:S56" si="23">R44/R$12</f>
        <v>#DIV/0!</v>
      </c>
      <c r="T44" s="54">
        <f>+Nómina!$D$52</f>
        <v>400000</v>
      </c>
      <c r="U44" s="44" t="e">
        <f t="shared" ref="U44:U56" si="24">T44/T$12</f>
        <v>#DIV/0!</v>
      </c>
      <c r="V44" s="54">
        <f>+Nómina!$D$52</f>
        <v>400000</v>
      </c>
      <c r="W44" s="44" t="e">
        <f t="shared" ref="W44:W56" si="25">V44/V$12</f>
        <v>#DIV/0!</v>
      </c>
      <c r="X44" s="54">
        <f>+Nómina!$D$52</f>
        <v>400000</v>
      </c>
      <c r="Y44" s="44" t="e">
        <f t="shared" ref="Y44:Y56" si="26">X44/X$12</f>
        <v>#DIV/0!</v>
      </c>
      <c r="Z44" s="54">
        <f>+Nómina!$D$52</f>
        <v>400000</v>
      </c>
      <c r="AA44" s="44">
        <f t="shared" si="13"/>
        <v>4.434589800443459E-3</v>
      </c>
      <c r="AB44" s="43">
        <f t="shared" si="15"/>
        <v>4800000</v>
      </c>
    </row>
    <row r="45" spans="1:28" ht="11.15" hidden="1" customHeight="1" x14ac:dyDescent="0.25">
      <c r="A45" s="108"/>
      <c r="B45" s="69" t="s">
        <v>35</v>
      </c>
      <c r="C45" s="56"/>
      <c r="D45" s="54"/>
      <c r="E45" s="44" t="e">
        <f t="shared" si="16"/>
        <v>#DIV/0!</v>
      </c>
      <c r="F45" s="54"/>
      <c r="G45" s="44" t="e">
        <f t="shared" si="17"/>
        <v>#DIV/0!</v>
      </c>
      <c r="H45" s="54"/>
      <c r="I45" s="44" t="e">
        <f t="shared" si="18"/>
        <v>#DIV/0!</v>
      </c>
      <c r="J45" s="54"/>
      <c r="K45" s="44" t="e">
        <f t="shared" si="19"/>
        <v>#DIV/0!</v>
      </c>
      <c r="L45" s="54"/>
      <c r="M45" s="44" t="e">
        <f t="shared" si="20"/>
        <v>#DIV/0!</v>
      </c>
      <c r="N45" s="54"/>
      <c r="O45" s="44" t="e">
        <f t="shared" si="21"/>
        <v>#DIV/0!</v>
      </c>
      <c r="P45" s="54"/>
      <c r="Q45" s="44" t="e">
        <f t="shared" si="22"/>
        <v>#DIV/0!</v>
      </c>
      <c r="R45" s="54"/>
      <c r="S45" s="44" t="e">
        <f t="shared" si="23"/>
        <v>#DIV/0!</v>
      </c>
      <c r="T45" s="54"/>
      <c r="U45" s="44" t="e">
        <f t="shared" si="24"/>
        <v>#DIV/0!</v>
      </c>
      <c r="V45" s="54"/>
      <c r="W45" s="44" t="e">
        <f t="shared" si="25"/>
        <v>#DIV/0!</v>
      </c>
      <c r="X45" s="54"/>
      <c r="Y45" s="44" t="e">
        <f t="shared" si="26"/>
        <v>#DIV/0!</v>
      </c>
      <c r="Z45" s="54"/>
      <c r="AA45" s="44">
        <f t="shared" si="13"/>
        <v>0</v>
      </c>
      <c r="AB45" s="43">
        <f t="shared" si="15"/>
        <v>0</v>
      </c>
    </row>
    <row r="46" spans="1:28" ht="11.15" hidden="1" customHeight="1" x14ac:dyDescent="0.25">
      <c r="A46" s="108"/>
      <c r="B46" s="70" t="s">
        <v>36</v>
      </c>
      <c r="C46" s="57"/>
      <c r="D46" s="54"/>
      <c r="E46" s="44" t="e">
        <f t="shared" si="16"/>
        <v>#DIV/0!</v>
      </c>
      <c r="F46" s="54"/>
      <c r="G46" s="44" t="e">
        <f t="shared" si="17"/>
        <v>#DIV/0!</v>
      </c>
      <c r="H46" s="54"/>
      <c r="I46" s="44" t="e">
        <f t="shared" si="18"/>
        <v>#DIV/0!</v>
      </c>
      <c r="J46" s="54"/>
      <c r="K46" s="44" t="e">
        <f t="shared" si="19"/>
        <v>#DIV/0!</v>
      </c>
      <c r="L46" s="54"/>
      <c r="M46" s="44" t="e">
        <f t="shared" si="20"/>
        <v>#DIV/0!</v>
      </c>
      <c r="N46" s="54"/>
      <c r="O46" s="44" t="e">
        <f t="shared" si="21"/>
        <v>#DIV/0!</v>
      </c>
      <c r="P46" s="54"/>
      <c r="Q46" s="44" t="e">
        <f t="shared" si="22"/>
        <v>#DIV/0!</v>
      </c>
      <c r="R46" s="54"/>
      <c r="S46" s="44" t="e">
        <f t="shared" si="23"/>
        <v>#DIV/0!</v>
      </c>
      <c r="T46" s="54"/>
      <c r="U46" s="44" t="e">
        <f t="shared" si="24"/>
        <v>#DIV/0!</v>
      </c>
      <c r="V46" s="54"/>
      <c r="W46" s="44" t="e">
        <f t="shared" si="25"/>
        <v>#DIV/0!</v>
      </c>
      <c r="X46" s="54"/>
      <c r="Y46" s="44" t="e">
        <f t="shared" si="26"/>
        <v>#DIV/0!</v>
      </c>
      <c r="Z46" s="54"/>
      <c r="AA46" s="44">
        <f t="shared" si="13"/>
        <v>0</v>
      </c>
      <c r="AB46" s="43">
        <f t="shared" si="15"/>
        <v>0</v>
      </c>
    </row>
    <row r="47" spans="1:28" ht="11.15" customHeight="1" x14ac:dyDescent="0.25">
      <c r="A47" s="108"/>
      <c r="B47" s="69" t="s">
        <v>37</v>
      </c>
      <c r="C47" s="56"/>
      <c r="D47" s="54">
        <f>+Nómina!$D$53</f>
        <v>1000000</v>
      </c>
      <c r="E47" s="44" t="e">
        <f t="shared" si="16"/>
        <v>#DIV/0!</v>
      </c>
      <c r="F47" s="54">
        <f>+Nómina!$D$51</f>
        <v>7140000</v>
      </c>
      <c r="G47" s="44" t="e">
        <f t="shared" si="17"/>
        <v>#DIV/0!</v>
      </c>
      <c r="H47" s="54">
        <f>+Nómina!$D$53</f>
        <v>1000000</v>
      </c>
      <c r="I47" s="44" t="e">
        <f t="shared" si="18"/>
        <v>#DIV/0!</v>
      </c>
      <c r="J47" s="54">
        <f>+Nómina!$D$53</f>
        <v>1000000</v>
      </c>
      <c r="K47" s="44" t="e">
        <f t="shared" si="19"/>
        <v>#DIV/0!</v>
      </c>
      <c r="L47" s="54">
        <f>+Nómina!$D$53</f>
        <v>1000000</v>
      </c>
      <c r="M47" s="44" t="e">
        <f t="shared" si="20"/>
        <v>#DIV/0!</v>
      </c>
      <c r="N47" s="54">
        <f>+Nómina!$D$53</f>
        <v>1000000</v>
      </c>
      <c r="O47" s="44" t="e">
        <f t="shared" si="21"/>
        <v>#DIV/0!</v>
      </c>
      <c r="P47" s="54">
        <f>+Nómina!$D$53</f>
        <v>1000000</v>
      </c>
      <c r="Q47" s="44" t="e">
        <f t="shared" si="22"/>
        <v>#DIV/0!</v>
      </c>
      <c r="R47" s="54">
        <f>+Nómina!$D$53</f>
        <v>1000000</v>
      </c>
      <c r="S47" s="44" t="e">
        <f t="shared" si="23"/>
        <v>#DIV/0!</v>
      </c>
      <c r="T47" s="54">
        <f>+Nómina!$D$53</f>
        <v>1000000</v>
      </c>
      <c r="U47" s="44" t="e">
        <f t="shared" si="24"/>
        <v>#DIV/0!</v>
      </c>
      <c r="V47" s="54">
        <f>+Nómina!$D$53</f>
        <v>1000000</v>
      </c>
      <c r="W47" s="44" t="e">
        <f t="shared" si="25"/>
        <v>#DIV/0!</v>
      </c>
      <c r="X47" s="54">
        <f>+Nómina!$D$53</f>
        <v>1000000</v>
      </c>
      <c r="Y47" s="44" t="e">
        <f t="shared" si="26"/>
        <v>#DIV/0!</v>
      </c>
      <c r="Z47" s="54">
        <f>+Nómina!$D$53</f>
        <v>1000000</v>
      </c>
      <c r="AA47" s="44">
        <f t="shared" si="13"/>
        <v>1.1086474501108648E-2</v>
      </c>
      <c r="AB47" s="43">
        <f t="shared" si="15"/>
        <v>18140000</v>
      </c>
    </row>
    <row r="48" spans="1:28" ht="11.15" customHeight="1" x14ac:dyDescent="0.25">
      <c r="A48" s="108"/>
      <c r="B48" s="69" t="s">
        <v>38</v>
      </c>
      <c r="C48" s="56"/>
      <c r="D48" s="54">
        <f>+Nómina!$D$54</f>
        <v>800000</v>
      </c>
      <c r="E48" s="44" t="e">
        <f t="shared" si="16"/>
        <v>#DIV/0!</v>
      </c>
      <c r="F48" s="54">
        <f>+Nómina!$D$52</f>
        <v>400000</v>
      </c>
      <c r="G48" s="44" t="e">
        <f t="shared" si="17"/>
        <v>#DIV/0!</v>
      </c>
      <c r="H48" s="54">
        <f>+Nómina!$D$54</f>
        <v>800000</v>
      </c>
      <c r="I48" s="44" t="e">
        <f t="shared" si="18"/>
        <v>#DIV/0!</v>
      </c>
      <c r="J48" s="54">
        <f>+Nómina!$D$54</f>
        <v>800000</v>
      </c>
      <c r="K48" s="44" t="e">
        <f t="shared" si="19"/>
        <v>#DIV/0!</v>
      </c>
      <c r="L48" s="54">
        <f>+Nómina!$D$54</f>
        <v>800000</v>
      </c>
      <c r="M48" s="44" t="e">
        <f t="shared" si="20"/>
        <v>#DIV/0!</v>
      </c>
      <c r="N48" s="54">
        <f>+Nómina!$D$54</f>
        <v>800000</v>
      </c>
      <c r="O48" s="44" t="e">
        <f t="shared" si="21"/>
        <v>#DIV/0!</v>
      </c>
      <c r="P48" s="54">
        <f>+Nómina!$D$54</f>
        <v>800000</v>
      </c>
      <c r="Q48" s="44" t="e">
        <f t="shared" si="22"/>
        <v>#DIV/0!</v>
      </c>
      <c r="R48" s="54">
        <f>+Nómina!$D$54</f>
        <v>800000</v>
      </c>
      <c r="S48" s="44" t="e">
        <f t="shared" si="23"/>
        <v>#DIV/0!</v>
      </c>
      <c r="T48" s="54">
        <f>+Nómina!$D$54</f>
        <v>800000</v>
      </c>
      <c r="U48" s="44" t="e">
        <f t="shared" si="24"/>
        <v>#DIV/0!</v>
      </c>
      <c r="V48" s="54">
        <f>+Nómina!$D$54</f>
        <v>800000</v>
      </c>
      <c r="W48" s="44" t="e">
        <f t="shared" si="25"/>
        <v>#DIV/0!</v>
      </c>
      <c r="X48" s="54">
        <f>+Nómina!$D$54</f>
        <v>800000</v>
      </c>
      <c r="Y48" s="44" t="e">
        <f t="shared" si="26"/>
        <v>#DIV/0!</v>
      </c>
      <c r="Z48" s="54">
        <f>+Nómina!$D$54</f>
        <v>800000</v>
      </c>
      <c r="AA48" s="44">
        <f t="shared" si="13"/>
        <v>8.869179600886918E-3</v>
      </c>
      <c r="AB48" s="43">
        <f t="shared" si="15"/>
        <v>9200000</v>
      </c>
    </row>
    <row r="49" spans="1:28" ht="11.15" customHeight="1" x14ac:dyDescent="0.25">
      <c r="A49" s="108"/>
      <c r="B49" s="69" t="s">
        <v>39</v>
      </c>
      <c r="C49" s="56"/>
      <c r="D49" s="54">
        <f>+Nómina!$D$55</f>
        <v>300000</v>
      </c>
      <c r="E49" s="54">
        <v>100000</v>
      </c>
      <c r="F49" s="54">
        <f>+Nómina!$D$53</f>
        <v>1000000</v>
      </c>
      <c r="G49" s="54">
        <v>100000</v>
      </c>
      <c r="H49" s="54">
        <f>+Nómina!$D$55</f>
        <v>300000</v>
      </c>
      <c r="I49" s="54">
        <v>100000</v>
      </c>
      <c r="J49" s="54">
        <f>+Nómina!$D$55</f>
        <v>300000</v>
      </c>
      <c r="K49" s="54">
        <v>100000</v>
      </c>
      <c r="L49" s="54">
        <f>+Nómina!$D$55</f>
        <v>300000</v>
      </c>
      <c r="M49" s="54">
        <v>100000</v>
      </c>
      <c r="N49" s="54">
        <f>+Nómina!$D$55</f>
        <v>300000</v>
      </c>
      <c r="O49" s="54">
        <v>100000</v>
      </c>
      <c r="P49" s="54">
        <f>+Nómina!$D$55</f>
        <v>300000</v>
      </c>
      <c r="Q49" s="54">
        <v>100000</v>
      </c>
      <c r="R49" s="54">
        <f>+Nómina!$D$55</f>
        <v>300000</v>
      </c>
      <c r="S49" s="54">
        <v>100000</v>
      </c>
      <c r="T49" s="54">
        <f>+Nómina!$D$55</f>
        <v>300000</v>
      </c>
      <c r="U49" s="54">
        <v>100000</v>
      </c>
      <c r="V49" s="54">
        <f>+Nómina!$D$55</f>
        <v>300000</v>
      </c>
      <c r="W49" s="54">
        <v>100000</v>
      </c>
      <c r="X49" s="54">
        <f>+Nómina!$D$55</f>
        <v>300000</v>
      </c>
      <c r="Y49" s="54">
        <v>100000</v>
      </c>
      <c r="Z49" s="54">
        <f>+Nómina!$D$55</f>
        <v>300000</v>
      </c>
      <c r="AA49" s="44">
        <f t="shared" si="13"/>
        <v>3.3259423503325942E-3</v>
      </c>
      <c r="AB49" s="43">
        <f t="shared" si="15"/>
        <v>4300000</v>
      </c>
    </row>
    <row r="50" spans="1:28" ht="11.15" customHeight="1" x14ac:dyDescent="0.25">
      <c r="A50" s="108"/>
      <c r="B50" s="69" t="s">
        <v>40</v>
      </c>
      <c r="C50" s="56"/>
      <c r="D50" s="54">
        <f>+Nómina!$D$56</f>
        <v>800000</v>
      </c>
      <c r="E50" s="54">
        <v>300000</v>
      </c>
      <c r="F50" s="54">
        <f>+Nómina!$D$54</f>
        <v>800000</v>
      </c>
      <c r="G50" s="54">
        <v>300000</v>
      </c>
      <c r="H50" s="54">
        <f>+Nómina!$D$56</f>
        <v>800000</v>
      </c>
      <c r="I50" s="54">
        <v>300000</v>
      </c>
      <c r="J50" s="54">
        <f>+Nómina!$D$56</f>
        <v>800000</v>
      </c>
      <c r="K50" s="54">
        <v>300000</v>
      </c>
      <c r="L50" s="54">
        <f>+Nómina!$D$56</f>
        <v>800000</v>
      </c>
      <c r="M50" s="54">
        <v>300000</v>
      </c>
      <c r="N50" s="54">
        <f>+Nómina!$D$56</f>
        <v>800000</v>
      </c>
      <c r="O50" s="54">
        <v>300000</v>
      </c>
      <c r="P50" s="54">
        <f>+Nómina!$D$56</f>
        <v>800000</v>
      </c>
      <c r="Q50" s="54">
        <v>300000</v>
      </c>
      <c r="R50" s="54">
        <f>+Nómina!$D$56</f>
        <v>800000</v>
      </c>
      <c r="S50" s="54">
        <v>300000</v>
      </c>
      <c r="T50" s="54">
        <f>+Nómina!$D$56</f>
        <v>800000</v>
      </c>
      <c r="U50" s="54">
        <v>300000</v>
      </c>
      <c r="V50" s="54">
        <f>+Nómina!$D$56</f>
        <v>800000</v>
      </c>
      <c r="W50" s="54">
        <v>300000</v>
      </c>
      <c r="X50" s="54">
        <f>+Nómina!$D$56</f>
        <v>800000</v>
      </c>
      <c r="Y50" s="54">
        <v>300000</v>
      </c>
      <c r="Z50" s="54">
        <f>+Nómina!$D$56</f>
        <v>800000</v>
      </c>
      <c r="AA50" s="44">
        <f t="shared" si="13"/>
        <v>8.869179600886918E-3</v>
      </c>
      <c r="AB50" s="43">
        <f t="shared" si="15"/>
        <v>9600000</v>
      </c>
    </row>
    <row r="51" spans="1:28" ht="11.15" customHeight="1" x14ac:dyDescent="0.25">
      <c r="A51" s="108"/>
      <c r="B51" s="69" t="s">
        <v>41</v>
      </c>
      <c r="C51" s="56"/>
      <c r="D51" s="54">
        <f>+Nómina!$D$57</f>
        <v>700000</v>
      </c>
      <c r="E51" s="54">
        <v>150000</v>
      </c>
      <c r="F51" s="54">
        <f>+Nómina!$D$55</f>
        <v>300000</v>
      </c>
      <c r="G51" s="54">
        <v>150000</v>
      </c>
      <c r="H51" s="54">
        <f>+Nómina!$D$57</f>
        <v>700000</v>
      </c>
      <c r="I51" s="54">
        <v>150000</v>
      </c>
      <c r="J51" s="54">
        <f>+Nómina!$D$57</f>
        <v>700000</v>
      </c>
      <c r="K51" s="54">
        <v>150000</v>
      </c>
      <c r="L51" s="54">
        <f>+Nómina!$D$57</f>
        <v>700000</v>
      </c>
      <c r="M51" s="54">
        <v>150000</v>
      </c>
      <c r="N51" s="54">
        <f>+Nómina!$D$57</f>
        <v>700000</v>
      </c>
      <c r="O51" s="54">
        <v>150000</v>
      </c>
      <c r="P51" s="54">
        <f>+Nómina!$D$57</f>
        <v>700000</v>
      </c>
      <c r="Q51" s="54">
        <v>150000</v>
      </c>
      <c r="R51" s="54">
        <f>+Nómina!$D$57</f>
        <v>700000</v>
      </c>
      <c r="S51" s="54">
        <v>150000</v>
      </c>
      <c r="T51" s="54">
        <f>+Nómina!$D$57</f>
        <v>700000</v>
      </c>
      <c r="U51" s="54">
        <v>150000</v>
      </c>
      <c r="V51" s="54">
        <f>+Nómina!$D$57</f>
        <v>700000</v>
      </c>
      <c r="W51" s="54">
        <v>150000</v>
      </c>
      <c r="X51" s="54">
        <f>+Nómina!$D$57</f>
        <v>700000</v>
      </c>
      <c r="Y51" s="54">
        <v>150000</v>
      </c>
      <c r="Z51" s="54">
        <f>+Nómina!$D$57</f>
        <v>700000</v>
      </c>
      <c r="AA51" s="44">
        <f t="shared" si="13"/>
        <v>7.7605321507760536E-3</v>
      </c>
      <c r="AB51" s="43">
        <f t="shared" si="15"/>
        <v>8000000</v>
      </c>
    </row>
    <row r="52" spans="1:28" ht="11.15" hidden="1" customHeight="1" x14ac:dyDescent="0.25">
      <c r="A52" s="108"/>
      <c r="B52" s="69" t="s">
        <v>42</v>
      </c>
      <c r="C52" s="56"/>
      <c r="D52" s="54"/>
      <c r="E52" s="44"/>
      <c r="F52" s="54"/>
      <c r="G52" s="44"/>
      <c r="H52" s="54"/>
      <c r="I52" s="44"/>
      <c r="J52" s="54"/>
      <c r="K52" s="44"/>
      <c r="L52" s="54"/>
      <c r="M52" s="44"/>
      <c r="N52" s="54"/>
      <c r="O52" s="44"/>
      <c r="P52" s="54"/>
      <c r="Q52" s="44"/>
      <c r="R52" s="54"/>
      <c r="S52" s="44"/>
      <c r="T52" s="54"/>
      <c r="U52" s="44"/>
      <c r="V52" s="54"/>
      <c r="W52" s="44"/>
      <c r="X52" s="54"/>
      <c r="Y52" s="44"/>
      <c r="Z52" s="54"/>
      <c r="AA52" s="44">
        <f t="shared" si="13"/>
        <v>0</v>
      </c>
      <c r="AB52" s="43">
        <f t="shared" si="15"/>
        <v>0</v>
      </c>
    </row>
    <row r="53" spans="1:28" ht="11.15" customHeight="1" x14ac:dyDescent="0.25">
      <c r="A53" s="108"/>
      <c r="B53" s="69" t="s">
        <v>43</v>
      </c>
      <c r="C53" s="56"/>
      <c r="D53" s="54">
        <f>+Nómina!$D$58</f>
        <v>750000</v>
      </c>
      <c r="E53" s="54">
        <v>100000</v>
      </c>
      <c r="F53" s="54">
        <f>+Nómina!$D$56</f>
        <v>800000</v>
      </c>
      <c r="G53" s="54">
        <v>100000</v>
      </c>
      <c r="H53" s="54">
        <f>+Nómina!$D$58</f>
        <v>750000</v>
      </c>
      <c r="I53" s="54">
        <v>100000</v>
      </c>
      <c r="J53" s="54">
        <f>+Nómina!$D$58</f>
        <v>750000</v>
      </c>
      <c r="K53" s="54">
        <v>100000</v>
      </c>
      <c r="L53" s="54">
        <f>+Nómina!$D$58</f>
        <v>750000</v>
      </c>
      <c r="M53" s="54">
        <v>100000</v>
      </c>
      <c r="N53" s="54">
        <f>+Nómina!$D$58</f>
        <v>750000</v>
      </c>
      <c r="O53" s="54">
        <v>100000</v>
      </c>
      <c r="P53" s="54">
        <f>+Nómina!$D$58</f>
        <v>750000</v>
      </c>
      <c r="Q53" s="54">
        <v>100000</v>
      </c>
      <c r="R53" s="54">
        <f>+Nómina!$D$58</f>
        <v>750000</v>
      </c>
      <c r="S53" s="54">
        <v>100000</v>
      </c>
      <c r="T53" s="54">
        <f>+Nómina!$D$58</f>
        <v>750000</v>
      </c>
      <c r="U53" s="54">
        <v>100000</v>
      </c>
      <c r="V53" s="54">
        <f>+Nómina!$D$58</f>
        <v>750000</v>
      </c>
      <c r="W53" s="54">
        <v>100000</v>
      </c>
      <c r="X53" s="54">
        <f>+Nómina!$D$58</f>
        <v>750000</v>
      </c>
      <c r="Y53" s="54">
        <v>100000</v>
      </c>
      <c r="Z53" s="54">
        <f>+Nómina!$D$58</f>
        <v>750000</v>
      </c>
      <c r="AA53" s="44">
        <f t="shared" si="13"/>
        <v>8.3148558758314849E-3</v>
      </c>
      <c r="AB53" s="43">
        <f t="shared" si="15"/>
        <v>9050000</v>
      </c>
    </row>
    <row r="54" spans="1:28" ht="11.15" customHeight="1" x14ac:dyDescent="0.25">
      <c r="A54" s="108"/>
      <c r="B54" s="69" t="s">
        <v>44</v>
      </c>
      <c r="C54" s="56"/>
      <c r="D54" s="54">
        <f>+Nómina!$D$59</f>
        <v>600000</v>
      </c>
      <c r="E54" s="44" t="e">
        <f t="shared" si="16"/>
        <v>#DIV/0!</v>
      </c>
      <c r="F54" s="54">
        <f>+Nómina!$D$57</f>
        <v>700000</v>
      </c>
      <c r="G54" s="44" t="e">
        <f t="shared" si="17"/>
        <v>#DIV/0!</v>
      </c>
      <c r="H54" s="54">
        <f>+Nómina!$D$59</f>
        <v>600000</v>
      </c>
      <c r="I54" s="44" t="e">
        <f t="shared" si="18"/>
        <v>#DIV/0!</v>
      </c>
      <c r="J54" s="54">
        <f>+Nómina!$D$59</f>
        <v>600000</v>
      </c>
      <c r="K54" s="44" t="e">
        <f t="shared" si="19"/>
        <v>#DIV/0!</v>
      </c>
      <c r="L54" s="54">
        <f>+Nómina!$D$59</f>
        <v>600000</v>
      </c>
      <c r="M54" s="44" t="e">
        <f t="shared" si="20"/>
        <v>#DIV/0!</v>
      </c>
      <c r="N54" s="54">
        <f>+Nómina!$D$59</f>
        <v>600000</v>
      </c>
      <c r="O54" s="44" t="e">
        <f t="shared" si="21"/>
        <v>#DIV/0!</v>
      </c>
      <c r="P54" s="54">
        <f>+Nómina!$D$59</f>
        <v>600000</v>
      </c>
      <c r="Q54" s="44" t="e">
        <f t="shared" si="22"/>
        <v>#DIV/0!</v>
      </c>
      <c r="R54" s="54">
        <f>+Nómina!$D$59</f>
        <v>600000</v>
      </c>
      <c r="S54" s="44" t="e">
        <f t="shared" si="23"/>
        <v>#DIV/0!</v>
      </c>
      <c r="T54" s="54">
        <f>+Nómina!$D$59</f>
        <v>600000</v>
      </c>
      <c r="U54" s="44" t="e">
        <f t="shared" si="24"/>
        <v>#DIV/0!</v>
      </c>
      <c r="V54" s="54">
        <f>+Nómina!$D$59</f>
        <v>600000</v>
      </c>
      <c r="W54" s="44" t="e">
        <f t="shared" si="25"/>
        <v>#DIV/0!</v>
      </c>
      <c r="X54" s="54">
        <f>+Nómina!$D$59</f>
        <v>600000</v>
      </c>
      <c r="Y54" s="44" t="e">
        <f t="shared" si="26"/>
        <v>#DIV/0!</v>
      </c>
      <c r="Z54" s="54">
        <f>+Nómina!$D$59</f>
        <v>600000</v>
      </c>
      <c r="AA54" s="44">
        <f t="shared" si="13"/>
        <v>6.6518847006651885E-3</v>
      </c>
      <c r="AB54" s="43">
        <f t="shared" si="15"/>
        <v>7300000</v>
      </c>
    </row>
    <row r="55" spans="1:28" ht="11.15" customHeight="1" x14ac:dyDescent="0.25">
      <c r="A55" s="108"/>
      <c r="B55" s="69" t="s">
        <v>45</v>
      </c>
      <c r="C55" s="56"/>
      <c r="D55" s="54">
        <f>+Nómina!$D$60</f>
        <v>1200000</v>
      </c>
      <c r="E55" s="44" t="e">
        <f t="shared" si="16"/>
        <v>#DIV/0!</v>
      </c>
      <c r="F55" s="54">
        <f>+Nómina!$D$58</f>
        <v>750000</v>
      </c>
      <c r="G55" s="43">
        <v>100000</v>
      </c>
      <c r="H55" s="54">
        <f>+Nómina!$D$60</f>
        <v>1200000</v>
      </c>
      <c r="I55" s="43">
        <v>100000</v>
      </c>
      <c r="J55" s="54">
        <f>+Nómina!$D$60</f>
        <v>1200000</v>
      </c>
      <c r="K55" s="43">
        <v>100000</v>
      </c>
      <c r="L55" s="54">
        <f>+Nómina!$D$60</f>
        <v>1200000</v>
      </c>
      <c r="M55" s="43">
        <v>100000</v>
      </c>
      <c r="N55" s="54">
        <f>+Nómina!$D$60</f>
        <v>1200000</v>
      </c>
      <c r="O55" s="43">
        <v>100000</v>
      </c>
      <c r="P55" s="54">
        <f>+Nómina!$D$60</f>
        <v>1200000</v>
      </c>
      <c r="Q55" s="43">
        <v>100000</v>
      </c>
      <c r="R55" s="54">
        <f>+Nómina!$D$60</f>
        <v>1200000</v>
      </c>
      <c r="S55" s="43">
        <v>100000</v>
      </c>
      <c r="T55" s="54">
        <f>+Nómina!$D$60</f>
        <v>1200000</v>
      </c>
      <c r="U55" s="43">
        <v>100000</v>
      </c>
      <c r="V55" s="54">
        <f>+Nómina!$D$60</f>
        <v>1200000</v>
      </c>
      <c r="W55" s="43">
        <v>100000</v>
      </c>
      <c r="X55" s="54">
        <f>+Nómina!$D$60</f>
        <v>1200000</v>
      </c>
      <c r="Y55" s="43">
        <v>100000</v>
      </c>
      <c r="Z55" s="54">
        <f>+Nómina!$D$60</f>
        <v>1200000</v>
      </c>
      <c r="AA55" s="44">
        <f t="shared" si="13"/>
        <v>1.3303769401330377E-2</v>
      </c>
      <c r="AB55" s="43">
        <f t="shared" si="15"/>
        <v>13950000</v>
      </c>
    </row>
    <row r="56" spans="1:28" ht="11.15" customHeight="1" thickBot="1" x14ac:dyDescent="0.3">
      <c r="A56" s="109"/>
      <c r="B56" s="71" t="s">
        <v>46</v>
      </c>
      <c r="C56" s="58"/>
      <c r="D56" s="54">
        <f>+Nómina!$D$61</f>
        <v>1200000</v>
      </c>
      <c r="E56" s="45" t="e">
        <f t="shared" si="16"/>
        <v>#DIV/0!</v>
      </c>
      <c r="F56" s="55">
        <f>+Nómina!$D$59</f>
        <v>600000</v>
      </c>
      <c r="G56" s="45" t="e">
        <f t="shared" si="17"/>
        <v>#DIV/0!</v>
      </c>
      <c r="H56" s="54">
        <f>+Nómina!$D$61</f>
        <v>1200000</v>
      </c>
      <c r="I56" s="45" t="e">
        <f t="shared" si="18"/>
        <v>#DIV/0!</v>
      </c>
      <c r="J56" s="54">
        <f>+Nómina!$D$61</f>
        <v>1200000</v>
      </c>
      <c r="K56" s="45" t="e">
        <f t="shared" si="19"/>
        <v>#DIV/0!</v>
      </c>
      <c r="L56" s="54">
        <f>+Nómina!$D$61</f>
        <v>1200000</v>
      </c>
      <c r="M56" s="45" t="e">
        <f t="shared" si="20"/>
        <v>#DIV/0!</v>
      </c>
      <c r="N56" s="54">
        <f>+Nómina!$D$61</f>
        <v>1200000</v>
      </c>
      <c r="O56" s="45" t="e">
        <f t="shared" si="21"/>
        <v>#DIV/0!</v>
      </c>
      <c r="P56" s="54">
        <f>+Nómina!$D$61</f>
        <v>1200000</v>
      </c>
      <c r="Q56" s="45" t="e">
        <f t="shared" si="22"/>
        <v>#DIV/0!</v>
      </c>
      <c r="R56" s="54">
        <f>+Nómina!$D$61</f>
        <v>1200000</v>
      </c>
      <c r="S56" s="45" t="e">
        <f t="shared" si="23"/>
        <v>#DIV/0!</v>
      </c>
      <c r="T56" s="54">
        <f>+Nómina!$D$61</f>
        <v>1200000</v>
      </c>
      <c r="U56" s="45" t="e">
        <f t="shared" si="24"/>
        <v>#DIV/0!</v>
      </c>
      <c r="V56" s="54">
        <f>+Nómina!$D$61</f>
        <v>1200000</v>
      </c>
      <c r="W56" s="45" t="e">
        <f t="shared" si="25"/>
        <v>#DIV/0!</v>
      </c>
      <c r="X56" s="54">
        <f>+Nómina!$D$61</f>
        <v>1200000</v>
      </c>
      <c r="Y56" s="45" t="e">
        <f t="shared" si="26"/>
        <v>#DIV/0!</v>
      </c>
      <c r="Z56" s="54">
        <f>+Nómina!$D$61</f>
        <v>1200000</v>
      </c>
      <c r="AA56" s="45">
        <f t="shared" si="13"/>
        <v>1.3303769401330377E-2</v>
      </c>
      <c r="AB56" s="43">
        <f t="shared" si="15"/>
        <v>13800000</v>
      </c>
    </row>
    <row r="57" spans="1:28" ht="13.5" thickTop="1" thickBot="1" x14ac:dyDescent="0.3">
      <c r="B57" s="46" t="s">
        <v>47</v>
      </c>
      <c r="C57" s="47"/>
      <c r="D57" s="50">
        <f>D23-D25</f>
        <v>8054437.5432320088</v>
      </c>
      <c r="E57" s="48"/>
      <c r="F57" s="50">
        <f>F23-F25</f>
        <v>769287.54323200881</v>
      </c>
      <c r="G57" s="49"/>
      <c r="H57" s="50">
        <f>H23-H25</f>
        <v>7696912.5432320088</v>
      </c>
      <c r="I57" s="48"/>
      <c r="J57" s="50">
        <f>J23-J25</f>
        <v>7676482.5432320088</v>
      </c>
      <c r="K57" s="48"/>
      <c r="L57" s="50">
        <f>L23-L25</f>
        <v>9484537.5432320088</v>
      </c>
      <c r="M57" s="48"/>
      <c r="N57" s="50">
        <f>N23-N25</f>
        <v>6675412.5432320088</v>
      </c>
      <c r="O57" s="48"/>
      <c r="P57" s="50">
        <f>P23-P25</f>
        <v>8207662.5432320088</v>
      </c>
      <c r="Q57" s="48"/>
      <c r="R57" s="50">
        <f>R23-R25</f>
        <v>8207662.5432320088</v>
      </c>
      <c r="S57" s="48"/>
      <c r="T57" s="50">
        <f>T23-T25</f>
        <v>7032937.5432320088</v>
      </c>
      <c r="U57" s="48"/>
      <c r="V57" s="50">
        <f>V23-V25</f>
        <v>10638832.543232009</v>
      </c>
      <c r="W57" s="48"/>
      <c r="X57" s="50">
        <f>X23-X25</f>
        <v>2368465.8765653372</v>
      </c>
      <c r="Y57" s="48"/>
      <c r="Z57" s="50">
        <f>Z23-Z25</f>
        <v>6104507.5432320088</v>
      </c>
      <c r="AA57" s="48"/>
      <c r="AB57" s="50">
        <f>SUM(D57:Z57)</f>
        <v>82917138.852117434</v>
      </c>
    </row>
    <row r="58" spans="1:28" ht="13" thickTop="1" x14ac:dyDescent="0.25">
      <c r="B58" s="7"/>
      <c r="C58" s="7"/>
      <c r="D58" s="8"/>
      <c r="E58" s="8"/>
      <c r="F58" s="8"/>
      <c r="G58" s="11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 spans="1:28" x14ac:dyDescent="0.25">
      <c r="B59" s="9"/>
      <c r="C59" s="9"/>
      <c r="D59" s="8"/>
      <c r="E59" s="8"/>
      <c r="F59" s="8"/>
      <c r="G59" s="11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 spans="1:28" x14ac:dyDescent="0.25">
      <c r="B60" s="7"/>
      <c r="C60" s="7"/>
      <c r="D60" s="8"/>
      <c r="E60" s="8"/>
      <c r="F60" s="8"/>
      <c r="G60" s="11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7"/>
    </row>
    <row r="61" spans="1:28" x14ac:dyDescent="0.25">
      <c r="B61" s="7"/>
      <c r="C61" s="7"/>
      <c r="D61" s="8"/>
      <c r="E61" s="8"/>
      <c r="F61" s="8"/>
      <c r="G61" s="11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7"/>
    </row>
    <row r="62" spans="1:28" x14ac:dyDescent="0.25">
      <c r="B62" s="7"/>
      <c r="C62" s="7"/>
      <c r="D62" s="8"/>
      <c r="E62" s="8"/>
      <c r="F62" s="8"/>
      <c r="G62" s="11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7"/>
    </row>
    <row r="63" spans="1:28" x14ac:dyDescent="0.25">
      <c r="B63" s="7"/>
      <c r="C63" s="7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7"/>
    </row>
    <row r="64" spans="1:28" x14ac:dyDescent="0.25">
      <c r="B64" s="9"/>
      <c r="C64" s="9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7"/>
    </row>
  </sheetData>
  <mergeCells count="3">
    <mergeCell ref="B2:AB2"/>
    <mergeCell ref="A42:A56"/>
    <mergeCell ref="B1:AB1"/>
  </mergeCells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64"/>
  <sheetViews>
    <sheetView showGridLines="0" tabSelected="1" topLeftCell="B1" zoomScaleNormal="100" workbookViewId="0">
      <selection activeCell="B1" sqref="B1:AB1"/>
    </sheetView>
  </sheetViews>
  <sheetFormatPr baseColWidth="10" defaultRowHeight="12.5" x14ac:dyDescent="0.25"/>
  <cols>
    <col min="1" max="1" width="3" customWidth="1"/>
    <col min="2" max="2" width="23.26953125" bestFit="1" customWidth="1"/>
    <col min="3" max="3" width="6" bestFit="1" customWidth="1"/>
    <col min="4" max="4" width="10.453125" customWidth="1"/>
    <col min="5" max="5" width="8.08984375" bestFit="1" customWidth="1"/>
    <col min="6" max="6" width="10.453125" customWidth="1"/>
    <col min="7" max="7" width="7.453125" bestFit="1" customWidth="1"/>
    <col min="8" max="8" width="10.453125" customWidth="1"/>
    <col min="9" max="9" width="8.08984375" bestFit="1" customWidth="1"/>
    <col min="10" max="10" width="10.453125" customWidth="1"/>
    <col min="11" max="11" width="8.08984375" bestFit="1" customWidth="1"/>
    <col min="12" max="12" width="10.453125" customWidth="1"/>
    <col min="13" max="13" width="8.08984375" bestFit="1" customWidth="1"/>
    <col min="14" max="14" width="10.54296875" customWidth="1"/>
    <col min="15" max="15" width="8.08984375" bestFit="1" customWidth="1"/>
    <col min="16" max="16" width="10.453125" customWidth="1"/>
    <col min="17" max="17" width="8.08984375" bestFit="1" customWidth="1"/>
    <col min="18" max="18" width="10.453125" customWidth="1"/>
    <col min="19" max="19" width="8.08984375" bestFit="1" customWidth="1"/>
    <col min="20" max="20" width="10.453125" customWidth="1"/>
    <col min="21" max="21" width="8.08984375" bestFit="1" customWidth="1"/>
    <col min="22" max="22" width="10.453125" customWidth="1"/>
    <col min="23" max="23" width="7.453125" bestFit="1" customWidth="1"/>
    <col min="24" max="24" width="10.453125" customWidth="1"/>
    <col min="25" max="25" width="8.08984375" bestFit="1" customWidth="1"/>
    <col min="26" max="26" width="10.453125" customWidth="1"/>
    <col min="27" max="27" width="8.08984375" bestFit="1" customWidth="1"/>
    <col min="28" max="28" width="11.81640625" customWidth="1"/>
  </cols>
  <sheetData>
    <row r="1" spans="2:28" ht="15" x14ac:dyDescent="0.25">
      <c r="B1" s="106" t="str">
        <f>+Nómina!C1</f>
        <v>Restaurante de Prueba</v>
      </c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</row>
    <row r="2" spans="2:28" ht="15" x14ac:dyDescent="0.25">
      <c r="B2" s="112" t="s">
        <v>100</v>
      </c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</row>
    <row r="3" spans="2:28" x14ac:dyDescent="0.25">
      <c r="B3" s="59" t="s">
        <v>0</v>
      </c>
      <c r="C3" s="63"/>
      <c r="D3" s="29" t="s">
        <v>101</v>
      </c>
      <c r="E3" s="2" t="s">
        <v>1</v>
      </c>
      <c r="F3" s="29" t="s">
        <v>102</v>
      </c>
      <c r="G3" s="2" t="s">
        <v>1</v>
      </c>
      <c r="H3" s="29" t="s">
        <v>103</v>
      </c>
      <c r="I3" s="2" t="s">
        <v>1</v>
      </c>
      <c r="J3" s="29" t="s">
        <v>104</v>
      </c>
      <c r="K3" s="2" t="s">
        <v>1</v>
      </c>
      <c r="L3" s="29" t="s">
        <v>105</v>
      </c>
      <c r="M3" s="2" t="s">
        <v>1</v>
      </c>
      <c r="N3" s="29" t="s">
        <v>106</v>
      </c>
      <c r="O3" s="2" t="s">
        <v>1</v>
      </c>
      <c r="P3" s="29" t="s">
        <v>107</v>
      </c>
      <c r="Q3" s="2" t="s">
        <v>1</v>
      </c>
      <c r="R3" s="29" t="s">
        <v>108</v>
      </c>
      <c r="S3" s="2" t="s">
        <v>1</v>
      </c>
      <c r="T3" s="29" t="s">
        <v>109</v>
      </c>
      <c r="U3" s="2" t="s">
        <v>1</v>
      </c>
      <c r="V3" s="29" t="s">
        <v>110</v>
      </c>
      <c r="W3" s="2" t="s">
        <v>1</v>
      </c>
      <c r="X3" s="29" t="s">
        <v>111</v>
      </c>
      <c r="Y3" s="2" t="s">
        <v>1</v>
      </c>
      <c r="Z3" s="29" t="s">
        <v>112</v>
      </c>
      <c r="AA3" s="2" t="s">
        <v>1</v>
      </c>
      <c r="AB3" s="2" t="s">
        <v>2</v>
      </c>
    </row>
    <row r="4" spans="2:28" x14ac:dyDescent="0.25">
      <c r="B4" s="60" t="s">
        <v>3</v>
      </c>
      <c r="C4" s="64"/>
      <c r="D4" s="4">
        <f>+'Ventas por día'!E13</f>
        <v>62424000</v>
      </c>
      <c r="E4" s="5"/>
      <c r="F4" s="4">
        <f>+'Ventas por día'!G13</f>
        <v>59904000</v>
      </c>
      <c r="G4" s="4"/>
      <c r="H4" s="4">
        <f>+'Ventas por día'!I13</f>
        <v>62004000</v>
      </c>
      <c r="I4" s="5"/>
      <c r="J4" s="4">
        <f>+'Ventas por día'!K13</f>
        <v>61980000</v>
      </c>
      <c r="K4" s="4"/>
      <c r="L4" s="4">
        <f>+'Ventas por día'!M13</f>
        <v>64104000</v>
      </c>
      <c r="M4" s="5"/>
      <c r="N4" s="4">
        <f>+'Ventas por día'!O13</f>
        <v>60804000</v>
      </c>
      <c r="O4" s="4"/>
      <c r="P4" s="4">
        <f>+'Ventas por día'!Q13</f>
        <v>62604000</v>
      </c>
      <c r="Q4" s="5"/>
      <c r="R4" s="4">
        <f>+'Ventas por día'!S13</f>
        <v>62604000</v>
      </c>
      <c r="S4" s="4"/>
      <c r="T4" s="4">
        <f>+'Ventas por día'!U13</f>
        <v>61224000</v>
      </c>
      <c r="U4" s="5"/>
      <c r="V4" s="4">
        <f>+'Ventas por día'!W13</f>
        <v>65460000</v>
      </c>
      <c r="W4" s="4"/>
      <c r="X4" s="4">
        <f>+'Ventas por día'!Y13/1.08</f>
        <v>55744444.44444444</v>
      </c>
      <c r="Y4" s="5"/>
      <c r="Z4" s="4">
        <f>+'Ventas por día'!AA13/1.08</f>
        <v>60133333.333333328</v>
      </c>
      <c r="AA4" s="4"/>
      <c r="AB4" s="4">
        <f t="shared" ref="AB4:AB11" si="0">SUM(D4:Z4)</f>
        <v>738989777.77777779</v>
      </c>
    </row>
    <row r="5" spans="2:28" x14ac:dyDescent="0.25">
      <c r="B5" s="60" t="s">
        <v>4</v>
      </c>
      <c r="C5" s="64"/>
      <c r="D5" s="4">
        <f>+'Ventas por día'!E14</f>
        <v>41616000</v>
      </c>
      <c r="E5" s="4"/>
      <c r="F5" s="4">
        <f>+'Ventas por día'!G14</f>
        <v>39936000</v>
      </c>
      <c r="G5" s="4"/>
      <c r="H5" s="4">
        <f>+'Ventas por día'!I14</f>
        <v>41336000</v>
      </c>
      <c r="I5" s="4"/>
      <c r="J5" s="4">
        <f>+'Ventas por día'!K14</f>
        <v>41320000</v>
      </c>
      <c r="K5" s="4"/>
      <c r="L5" s="4">
        <f>+'Ventas por día'!M14</f>
        <v>42736000</v>
      </c>
      <c r="M5" s="4"/>
      <c r="N5" s="4">
        <f>+'Ventas por día'!O14</f>
        <v>40536000</v>
      </c>
      <c r="O5" s="4"/>
      <c r="P5" s="4">
        <f>+'Ventas por día'!Q14</f>
        <v>41736000</v>
      </c>
      <c r="Q5" s="4"/>
      <c r="R5" s="4">
        <f>+'Ventas por día'!S14</f>
        <v>41736000</v>
      </c>
      <c r="S5" s="4"/>
      <c r="T5" s="4">
        <f>+'Ventas por día'!U14</f>
        <v>40816000</v>
      </c>
      <c r="U5" s="4"/>
      <c r="V5" s="4">
        <f>+'Ventas por día'!W14</f>
        <v>43640000</v>
      </c>
      <c r="W5" s="4"/>
      <c r="X5" s="4">
        <f>+'Ventas por día'!Y14/1.08</f>
        <v>37162962.962962963</v>
      </c>
      <c r="Y5" s="4"/>
      <c r="Z5" s="4">
        <f>+'Ventas por día'!AA14/1.08</f>
        <v>40088888.888888888</v>
      </c>
      <c r="AA5" s="4"/>
      <c r="AB5" s="4">
        <f t="shared" si="0"/>
        <v>492659851.85185188</v>
      </c>
    </row>
    <row r="6" spans="2:28" hidden="1" x14ac:dyDescent="0.25">
      <c r="B6" s="60" t="s">
        <v>5</v>
      </c>
      <c r="C6" s="6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>
        <f t="shared" si="0"/>
        <v>0</v>
      </c>
    </row>
    <row r="7" spans="2:28" hidden="1" x14ac:dyDescent="0.25">
      <c r="B7" s="61" t="s">
        <v>6</v>
      </c>
      <c r="C7" s="6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>
        <f t="shared" si="0"/>
        <v>0</v>
      </c>
    </row>
    <row r="8" spans="2:28" hidden="1" x14ac:dyDescent="0.25">
      <c r="B8" s="61" t="s">
        <v>60</v>
      </c>
      <c r="C8" s="6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>
        <f t="shared" si="0"/>
        <v>0</v>
      </c>
    </row>
    <row r="9" spans="2:28" hidden="1" x14ac:dyDescent="0.25">
      <c r="B9" s="61" t="s">
        <v>7</v>
      </c>
      <c r="C9" s="6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>
        <f t="shared" si="0"/>
        <v>0</v>
      </c>
    </row>
    <row r="10" spans="2:28" hidden="1" x14ac:dyDescent="0.25">
      <c r="B10" s="61" t="s">
        <v>61</v>
      </c>
      <c r="C10" s="6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>
        <f t="shared" si="0"/>
        <v>0</v>
      </c>
    </row>
    <row r="11" spans="2:28" hidden="1" x14ac:dyDescent="0.25">
      <c r="B11" s="61"/>
      <c r="C11" s="6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>
        <f t="shared" si="0"/>
        <v>0</v>
      </c>
    </row>
    <row r="12" spans="2:28" x14ac:dyDescent="0.25">
      <c r="B12" s="62" t="s">
        <v>2</v>
      </c>
      <c r="C12" s="63"/>
      <c r="D12" s="6">
        <f>SUM(D4:D11)</f>
        <v>104040000</v>
      </c>
      <c r="E12" s="6"/>
      <c r="F12" s="6">
        <f>SUM(F4:F11)</f>
        <v>99840000</v>
      </c>
      <c r="G12" s="6"/>
      <c r="H12" s="6">
        <f>SUM(H4:H11)</f>
        <v>103340000</v>
      </c>
      <c r="I12" s="6"/>
      <c r="J12" s="6">
        <f>SUM(J4:J11)</f>
        <v>103300000</v>
      </c>
      <c r="K12" s="6"/>
      <c r="L12" s="6">
        <f>SUM(L4:L11)</f>
        <v>106840000</v>
      </c>
      <c r="M12" s="6"/>
      <c r="N12" s="6">
        <f>SUM(N4:N11)</f>
        <v>101340000</v>
      </c>
      <c r="O12" s="6"/>
      <c r="P12" s="6">
        <f>SUM(P4:P11)</f>
        <v>104340000</v>
      </c>
      <c r="Q12" s="6"/>
      <c r="R12" s="6">
        <f>SUM(R4:R11)</f>
        <v>104340000</v>
      </c>
      <c r="S12" s="6"/>
      <c r="T12" s="6">
        <f>SUM(T4:T11)</f>
        <v>102040000</v>
      </c>
      <c r="U12" s="6"/>
      <c r="V12" s="6">
        <f>SUM(V4:V11)</f>
        <v>109100000</v>
      </c>
      <c r="W12" s="6"/>
      <c r="X12" s="6">
        <f>SUM(X4:X11)</f>
        <v>92907407.407407403</v>
      </c>
      <c r="Y12" s="6"/>
      <c r="Z12" s="6">
        <f>SUM(Z4:Z11)</f>
        <v>100222222.22222221</v>
      </c>
      <c r="AA12" s="6"/>
      <c r="AB12" s="6">
        <f>SUM(AB4:AB11)</f>
        <v>1231649629.6296296</v>
      </c>
    </row>
    <row r="13" spans="2:28" x14ac:dyDescent="0.25">
      <c r="B13" s="62" t="s">
        <v>8</v>
      </c>
      <c r="C13" s="64"/>
      <c r="D13" s="4">
        <f>D12/'Ventas por día'!D11</f>
        <v>3468000</v>
      </c>
      <c r="E13" s="4"/>
      <c r="F13" s="4">
        <f>F12/'Ventas por día'!F11</f>
        <v>3442758.6206896552</v>
      </c>
      <c r="G13" s="4"/>
      <c r="H13" s="4">
        <f>H12/'Ventas por día'!H11</f>
        <v>3333548.3870967743</v>
      </c>
      <c r="I13" s="4"/>
      <c r="J13" s="4">
        <f>J12/'Ventas por día'!J11</f>
        <v>3443333.3333333335</v>
      </c>
      <c r="K13" s="4"/>
      <c r="L13" s="4">
        <f>L12/'Ventas por día'!L11</f>
        <v>3446451.6129032257</v>
      </c>
      <c r="M13" s="4"/>
      <c r="N13" s="4">
        <f>N12/'Ventas por día'!N11</f>
        <v>3378000</v>
      </c>
      <c r="O13" s="4"/>
      <c r="P13" s="4">
        <f>P12/'Ventas por día'!P11</f>
        <v>3365806.4516129033</v>
      </c>
      <c r="Q13" s="4"/>
      <c r="R13" s="4">
        <f>R12/'Ventas por día'!R11</f>
        <v>3365806.4516129033</v>
      </c>
      <c r="S13" s="4"/>
      <c r="T13" s="4">
        <f>T12/'Ventas por día'!T11</f>
        <v>3401333.3333333335</v>
      </c>
      <c r="U13" s="4"/>
      <c r="V13" s="4">
        <f>V12/'Ventas por día'!V11</f>
        <v>3519354.8387096776</v>
      </c>
      <c r="W13" s="4"/>
      <c r="X13" s="4">
        <f>X12/'Ventas por día'!X11</f>
        <v>3096913.5802469132</v>
      </c>
      <c r="Y13" s="4"/>
      <c r="Z13" s="4">
        <f>Z12/'Ventas por día'!Z11</f>
        <v>3340740.7407407402</v>
      </c>
      <c r="AA13" s="4"/>
      <c r="AB13" s="4"/>
    </row>
    <row r="14" spans="2:28" x14ac:dyDescent="0.25">
      <c r="B14" s="62" t="s">
        <v>9</v>
      </c>
      <c r="C14" s="64"/>
      <c r="D14" s="4">
        <f>D13/$D$15</f>
        <v>157.63636363636363</v>
      </c>
      <c r="E14" s="4"/>
      <c r="F14" s="4">
        <f>F13/$D$15</f>
        <v>156.48902821316614</v>
      </c>
      <c r="G14" s="4"/>
      <c r="H14" s="4">
        <f>H13/$D$15</f>
        <v>151.52492668621701</v>
      </c>
      <c r="I14" s="4"/>
      <c r="J14" s="4">
        <f>J13/$D$15</f>
        <v>156.51515151515153</v>
      </c>
      <c r="K14" s="4"/>
      <c r="L14" s="4">
        <f>L13/$D$15</f>
        <v>156.65689149560117</v>
      </c>
      <c r="M14" s="4"/>
      <c r="N14" s="4">
        <f>N13/$D$15</f>
        <v>153.54545454545453</v>
      </c>
      <c r="O14" s="4"/>
      <c r="P14" s="4">
        <f>P13/$D$15</f>
        <v>152.99120234604106</v>
      </c>
      <c r="Q14" s="4"/>
      <c r="R14" s="4">
        <f>R13/$D$15</f>
        <v>152.99120234604106</v>
      </c>
      <c r="S14" s="4"/>
      <c r="T14" s="4">
        <f>T13/$D$15</f>
        <v>154.60606060606062</v>
      </c>
      <c r="U14" s="4"/>
      <c r="V14" s="4">
        <f>V13/$D$15</f>
        <v>159.97067448680352</v>
      </c>
      <c r="W14" s="4"/>
      <c r="X14" s="4">
        <f>X13/$D$15</f>
        <v>140.76879910213242</v>
      </c>
      <c r="Y14" s="4"/>
      <c r="Z14" s="4">
        <f>Z13/$D$15</f>
        <v>151.85185185185182</v>
      </c>
      <c r="AA14" s="4"/>
      <c r="AB14" s="3"/>
    </row>
    <row r="15" spans="2:28" ht="13" thickBot="1" x14ac:dyDescent="0.3">
      <c r="B15" s="40" t="s">
        <v>10</v>
      </c>
      <c r="C15" s="41"/>
      <c r="D15" s="52">
        <v>22000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7"/>
    </row>
    <row r="16" spans="2:28" ht="13" thickTop="1" x14ac:dyDescent="0.25">
      <c r="B16" s="65"/>
      <c r="C16" s="20"/>
      <c r="D16" s="66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7"/>
    </row>
    <row r="17" spans="2:29" x14ac:dyDescent="0.25">
      <c r="B17" s="59" t="s">
        <v>11</v>
      </c>
      <c r="C17" s="63"/>
      <c r="D17" s="29" t="s">
        <v>48</v>
      </c>
      <c r="E17" s="2" t="s">
        <v>1</v>
      </c>
      <c r="F17" s="29" t="s">
        <v>49</v>
      </c>
      <c r="G17" s="2" t="s">
        <v>1</v>
      </c>
      <c r="H17" s="29" t="s">
        <v>50</v>
      </c>
      <c r="I17" s="2" t="s">
        <v>1</v>
      </c>
      <c r="J17" s="29" t="s">
        <v>51</v>
      </c>
      <c r="K17" s="2" t="s">
        <v>1</v>
      </c>
      <c r="L17" s="29" t="s">
        <v>52</v>
      </c>
      <c r="M17" s="2" t="s">
        <v>1</v>
      </c>
      <c r="N17" s="29" t="s">
        <v>53</v>
      </c>
      <c r="O17" s="2" t="s">
        <v>1</v>
      </c>
      <c r="P17" s="29" t="s">
        <v>54</v>
      </c>
      <c r="Q17" s="2" t="s">
        <v>1</v>
      </c>
      <c r="R17" s="29" t="s">
        <v>55</v>
      </c>
      <c r="S17" s="2" t="s">
        <v>1</v>
      </c>
      <c r="T17" s="29" t="s">
        <v>56</v>
      </c>
      <c r="U17" s="2" t="s">
        <v>1</v>
      </c>
      <c r="V17" s="29" t="s">
        <v>57</v>
      </c>
      <c r="W17" s="2" t="s">
        <v>1</v>
      </c>
      <c r="X17" s="29" t="s">
        <v>58</v>
      </c>
      <c r="Y17" s="2" t="s">
        <v>1</v>
      </c>
      <c r="Z17" s="29" t="s">
        <v>59</v>
      </c>
      <c r="AA17" s="2" t="s">
        <v>1</v>
      </c>
      <c r="AB17" s="2" t="s">
        <v>2</v>
      </c>
    </row>
    <row r="18" spans="2:29" x14ac:dyDescent="0.25">
      <c r="B18" s="3" t="s">
        <v>12</v>
      </c>
      <c r="C18" s="10">
        <v>0.38</v>
      </c>
      <c r="D18" s="4">
        <f>D4*$C$18</f>
        <v>23721120</v>
      </c>
      <c r="E18" s="10"/>
      <c r="F18" s="4">
        <f>F4*$C$18</f>
        <v>22763520</v>
      </c>
      <c r="G18" s="10"/>
      <c r="H18" s="4">
        <f>H4*$C$18</f>
        <v>23561520</v>
      </c>
      <c r="I18" s="10"/>
      <c r="J18" s="4">
        <f>J4*$C$18</f>
        <v>23552400</v>
      </c>
      <c r="K18" s="10"/>
      <c r="L18" s="4">
        <f>L4*$C$18</f>
        <v>24359520</v>
      </c>
      <c r="M18" s="10"/>
      <c r="N18" s="4">
        <f>N4*$C$18</f>
        <v>23105520</v>
      </c>
      <c r="O18" s="10"/>
      <c r="P18" s="4">
        <f>P4*$C$18</f>
        <v>23789520</v>
      </c>
      <c r="Q18" s="10"/>
      <c r="R18" s="4">
        <f>R4*$C$18</f>
        <v>23789520</v>
      </c>
      <c r="S18" s="10"/>
      <c r="T18" s="4">
        <f>T4*$C$18</f>
        <v>23265120</v>
      </c>
      <c r="U18" s="10"/>
      <c r="V18" s="4">
        <f>V4*$C$18</f>
        <v>24874800</v>
      </c>
      <c r="W18" s="10"/>
      <c r="X18" s="4">
        <f>X4*$C$18</f>
        <v>21182888.888888888</v>
      </c>
      <c r="Y18" s="10"/>
      <c r="Z18" s="4">
        <f>Z4*$C$18</f>
        <v>22850666.666666664</v>
      </c>
      <c r="AA18" s="10"/>
      <c r="AB18" s="4">
        <f>SUM(D18:Z18)</f>
        <v>280816115.55555558</v>
      </c>
    </row>
    <row r="19" spans="2:29" x14ac:dyDescent="0.25">
      <c r="B19" s="3" t="s">
        <v>13</v>
      </c>
      <c r="C19" s="10">
        <v>0.43</v>
      </c>
      <c r="D19" s="4">
        <f>D5*$C$19</f>
        <v>17894880</v>
      </c>
      <c r="E19" s="10"/>
      <c r="F19" s="4">
        <f>F5*$C$19</f>
        <v>17172480</v>
      </c>
      <c r="G19" s="10"/>
      <c r="H19" s="4">
        <f>H5*$C$19</f>
        <v>17774480</v>
      </c>
      <c r="I19" s="10"/>
      <c r="J19" s="4">
        <f>J5*$C$19</f>
        <v>17767600</v>
      </c>
      <c r="K19" s="10"/>
      <c r="L19" s="4">
        <f>L5*$C$19</f>
        <v>18376480</v>
      </c>
      <c r="M19" s="10"/>
      <c r="N19" s="4">
        <f>N5*$C$19</f>
        <v>17430480</v>
      </c>
      <c r="O19" s="10"/>
      <c r="P19" s="4">
        <f>P5*$C$19</f>
        <v>17946480</v>
      </c>
      <c r="Q19" s="10"/>
      <c r="R19" s="4">
        <f>R5*$C$19</f>
        <v>17946480</v>
      </c>
      <c r="S19" s="10"/>
      <c r="T19" s="4">
        <f>T5*$C$19</f>
        <v>17550880</v>
      </c>
      <c r="U19" s="10"/>
      <c r="V19" s="4">
        <f>V5*$C$19</f>
        <v>18765200</v>
      </c>
      <c r="W19" s="10"/>
      <c r="X19" s="4">
        <f>X5*$C$19</f>
        <v>15980074.074074075</v>
      </c>
      <c r="Y19" s="10"/>
      <c r="Z19" s="4">
        <f>Z5*$C$19</f>
        <v>17238222.22222222</v>
      </c>
      <c r="AA19" s="10"/>
      <c r="AB19" s="4">
        <f>SUM(D19:Z19)</f>
        <v>211843736.2962963</v>
      </c>
    </row>
    <row r="20" spans="2:29" hidden="1" x14ac:dyDescent="0.25">
      <c r="B20" s="3" t="s">
        <v>14</v>
      </c>
      <c r="C20" s="10">
        <v>0.35</v>
      </c>
      <c r="D20" s="4">
        <f>D6*$C$20</f>
        <v>0</v>
      </c>
      <c r="E20" s="10"/>
      <c r="F20" s="4">
        <f>F6*$C$20</f>
        <v>0</v>
      </c>
      <c r="G20" s="10"/>
      <c r="H20" s="4">
        <f>H6*$C$20</f>
        <v>0</v>
      </c>
      <c r="I20" s="10"/>
      <c r="J20" s="4">
        <f>J6*$C$20</f>
        <v>0</v>
      </c>
      <c r="K20" s="10"/>
      <c r="L20" s="4">
        <f>L6*$C$20</f>
        <v>0</v>
      </c>
      <c r="M20" s="10"/>
      <c r="N20" s="4">
        <f>N6*$C$20</f>
        <v>0</v>
      </c>
      <c r="O20" s="10"/>
      <c r="P20" s="4">
        <f>P6*$C$20</f>
        <v>0</v>
      </c>
      <c r="Q20" s="10"/>
      <c r="R20" s="4">
        <f>R6*$C$20</f>
        <v>0</v>
      </c>
      <c r="S20" s="10"/>
      <c r="T20" s="4">
        <f>T6*$C$20</f>
        <v>0</v>
      </c>
      <c r="U20" s="10"/>
      <c r="V20" s="4">
        <f>V6*$C$20</f>
        <v>0</v>
      </c>
      <c r="W20" s="10"/>
      <c r="X20" s="4">
        <f>X6*$C$20</f>
        <v>0</v>
      </c>
      <c r="Y20" s="10"/>
      <c r="Z20" s="4">
        <f>Z6*$C$20</f>
        <v>0</v>
      </c>
      <c r="AA20" s="10"/>
      <c r="AB20" s="4">
        <f>SUM(D20:Z20)</f>
        <v>0</v>
      </c>
    </row>
    <row r="21" spans="2:29" ht="14.25" customHeight="1" thickBot="1" x14ac:dyDescent="0.3">
      <c r="B21" s="13" t="s">
        <v>2</v>
      </c>
      <c r="C21" s="1"/>
      <c r="D21" s="6">
        <f>SUM(D18:D20)</f>
        <v>41616000</v>
      </c>
      <c r="E21" s="51"/>
      <c r="F21" s="6">
        <f>SUM(F18:F20)</f>
        <v>39936000</v>
      </c>
      <c r="G21" s="51"/>
      <c r="H21" s="6">
        <f>SUM(H18:H20)</f>
        <v>41336000</v>
      </c>
      <c r="I21" s="51"/>
      <c r="J21" s="6">
        <f>SUM(J18:J20)</f>
        <v>41320000</v>
      </c>
      <c r="K21" s="51"/>
      <c r="L21" s="6">
        <f>SUM(L18:L20)</f>
        <v>42736000</v>
      </c>
      <c r="M21" s="51"/>
      <c r="N21" s="6">
        <f>SUM(N18:N20)</f>
        <v>40536000</v>
      </c>
      <c r="O21" s="51"/>
      <c r="P21" s="6">
        <f>SUM(P18:P20)</f>
        <v>41736000</v>
      </c>
      <c r="Q21" s="51"/>
      <c r="R21" s="6">
        <f>SUM(R18:R20)</f>
        <v>41736000</v>
      </c>
      <c r="S21" s="51"/>
      <c r="T21" s="6">
        <f>SUM(T18:T20)</f>
        <v>40816000</v>
      </c>
      <c r="U21" s="51"/>
      <c r="V21" s="6">
        <f>SUM(V18:V20)</f>
        <v>43640000</v>
      </c>
      <c r="W21" s="51"/>
      <c r="X21" s="6">
        <f>SUM(X18:X20)</f>
        <v>37162962.962962963</v>
      </c>
      <c r="Y21" s="51"/>
      <c r="Z21" s="6">
        <f>SUM(Z18:Z20)</f>
        <v>40088888.888888881</v>
      </c>
      <c r="AA21" s="51"/>
      <c r="AB21" s="6">
        <f>SUM(D21:Z21)</f>
        <v>492659851.85185188</v>
      </c>
    </row>
    <row r="22" spans="2:29" ht="9.25" customHeight="1" thickTop="1" thickBot="1" x14ac:dyDescent="0.3">
      <c r="B22" s="46" t="s">
        <v>15</v>
      </c>
      <c r="C22" s="47"/>
      <c r="D22" s="50">
        <f>D12-D21</f>
        <v>62424000</v>
      </c>
      <c r="E22" s="48"/>
      <c r="F22" s="50">
        <f>F12-F21</f>
        <v>59904000</v>
      </c>
      <c r="G22" s="49"/>
      <c r="H22" s="50">
        <f>H12-H21</f>
        <v>62004000</v>
      </c>
      <c r="I22" s="48"/>
      <c r="J22" s="50">
        <f>J12-J21</f>
        <v>61980000</v>
      </c>
      <c r="K22" s="48"/>
      <c r="L22" s="50">
        <f>L12-L21</f>
        <v>64104000</v>
      </c>
      <c r="M22" s="48"/>
      <c r="N22" s="50">
        <f>N12-N21</f>
        <v>60804000</v>
      </c>
      <c r="O22" s="48"/>
      <c r="P22" s="50">
        <f>P12-P21</f>
        <v>62604000</v>
      </c>
      <c r="Q22" s="48"/>
      <c r="R22" s="50">
        <f>R12-R21</f>
        <v>62604000</v>
      </c>
      <c r="S22" s="48"/>
      <c r="T22" s="50">
        <f>T12-T21</f>
        <v>61224000</v>
      </c>
      <c r="U22" s="48"/>
      <c r="V22" s="50">
        <f>V12-V21</f>
        <v>65460000</v>
      </c>
      <c r="W22" s="48"/>
      <c r="X22" s="50">
        <f>X12-X21</f>
        <v>55744444.44444444</v>
      </c>
      <c r="Y22" s="48"/>
      <c r="Z22" s="50">
        <f>Z12-Z21</f>
        <v>60133333.333333328</v>
      </c>
      <c r="AA22" s="48"/>
      <c r="AB22" s="50">
        <f>SUM(D22:Z22)</f>
        <v>738989777.77777779</v>
      </c>
    </row>
    <row r="23" spans="2:29" ht="9.25" customHeight="1" thickTop="1" thickBot="1" x14ac:dyDescent="0.3">
      <c r="B23" s="7"/>
      <c r="C23" s="7"/>
      <c r="D23" s="8"/>
      <c r="E23" s="11"/>
      <c r="F23" s="8"/>
      <c r="G23" s="11"/>
      <c r="H23" s="8"/>
      <c r="I23" s="11"/>
      <c r="J23" s="8"/>
      <c r="K23" s="11"/>
      <c r="L23" s="8"/>
      <c r="M23" s="11"/>
      <c r="N23" s="8"/>
      <c r="O23" s="11"/>
      <c r="P23" s="8"/>
      <c r="Q23" s="11"/>
      <c r="R23" s="8"/>
      <c r="S23" s="11"/>
      <c r="T23" s="8"/>
      <c r="U23" s="11"/>
      <c r="V23" s="8"/>
      <c r="W23" s="11"/>
      <c r="X23" s="8"/>
      <c r="Y23" s="11"/>
      <c r="Z23" s="8"/>
      <c r="AA23" s="11"/>
      <c r="AB23" s="7"/>
      <c r="AC23" s="13">
        <f>AB24/AB$12</f>
        <v>0.59987600381968387</v>
      </c>
    </row>
    <row r="24" spans="2:29" ht="11.15" customHeight="1" thickTop="1" thickBot="1" x14ac:dyDescent="0.3">
      <c r="B24" s="9" t="s">
        <v>16</v>
      </c>
      <c r="C24" s="9"/>
      <c r="D24" s="12">
        <f>SUM(D38:D56)+D25</f>
        <v>61657412.456767991</v>
      </c>
      <c r="E24" s="13">
        <f>D24/D12</f>
        <v>0.59263179985359471</v>
      </c>
      <c r="F24" s="12">
        <f>SUM(F38:F56)+F25</f>
        <v>61394912.456767991</v>
      </c>
      <c r="G24" s="13">
        <f t="shared" ref="G24:G57" si="1">F24/F$12</f>
        <v>0.61493301739551276</v>
      </c>
      <c r="H24" s="12">
        <f>SUM(H38:H56)+H25</f>
        <v>61613662.456767991</v>
      </c>
      <c r="I24" s="13">
        <f>H24/H12</f>
        <v>0.59622278359558734</v>
      </c>
      <c r="J24" s="12">
        <f>SUM(J38:J56)+J25</f>
        <v>61611162.456767991</v>
      </c>
      <c r="K24" s="13">
        <f>J24/J$12</f>
        <v>0.59642945263086145</v>
      </c>
      <c r="L24" s="12">
        <f>SUM(L38:L56)+L25</f>
        <v>61832412.456767991</v>
      </c>
      <c r="M24" s="13">
        <f>L24/L$12</f>
        <v>0.57873841685481087</v>
      </c>
      <c r="N24" s="12">
        <f>SUM(N38:N56)+N25</f>
        <v>61488662.456767991</v>
      </c>
      <c r="O24" s="13">
        <f t="shared" ref="O24:O57" si="2">N24/N$12</f>
        <v>0.6067560929225182</v>
      </c>
      <c r="P24" s="12">
        <f>SUM(P38:P56)+P25</f>
        <v>61676162.456767991</v>
      </c>
      <c r="Q24" s="13">
        <f t="shared" ref="Q24:Q57" si="3">P24/P$12</f>
        <v>0.59110755661077241</v>
      </c>
      <c r="R24" s="12">
        <f>SUM(R38:R56)+R25</f>
        <v>61676162.456767991</v>
      </c>
      <c r="S24" s="13">
        <f t="shared" ref="S24:S57" si="4">R24/R$12</f>
        <v>0.59110755661077241</v>
      </c>
      <c r="T24" s="12">
        <f>SUM(T38:T56)+T25</f>
        <v>61532412.456767991</v>
      </c>
      <c r="U24" s="13">
        <f t="shared" ref="U24:U57" si="5">T24/T$12</f>
        <v>0.60302246625605638</v>
      </c>
      <c r="V24" s="12">
        <f>SUM(V38:V56)+V25</f>
        <v>61973662.456767991</v>
      </c>
      <c r="W24" s="13">
        <f t="shared" ref="W24:W57" si="6">V24/V$12</f>
        <v>0.56804456880630605</v>
      </c>
      <c r="X24" s="12">
        <f>SUM(X38:X56)+X25</f>
        <v>60961625.419730961</v>
      </c>
      <c r="Y24" s="13">
        <f t="shared" ref="Y24:Y57" si="7">X24/X$12</f>
        <v>0.65615462879519082</v>
      </c>
      <c r="Z24" s="12">
        <f>SUM(Z38:Z56)+Z25</f>
        <v>61418801.345656887</v>
      </c>
      <c r="AA24" s="13">
        <f>Z24/Z$12</f>
        <v>0.61282617750655444</v>
      </c>
      <c r="AB24" s="12">
        <f t="shared" ref="AB24:AB37" si="8">SUM(D24:Z24)</f>
        <v>738837057.92821598</v>
      </c>
      <c r="AC24" s="17">
        <f>AB25/AB$12</f>
        <v>0.26681204175998979</v>
      </c>
    </row>
    <row r="25" spans="2:29" ht="10.9" customHeight="1" thickTop="1" x14ac:dyDescent="0.25">
      <c r="B25" s="14" t="s">
        <v>17</v>
      </c>
      <c r="C25" s="15"/>
      <c r="D25" s="16">
        <f>SUM(D26:D37)</f>
        <v>27384912.456767995</v>
      </c>
      <c r="E25" s="17">
        <f t="shared" ref="E25:E37" si="9">D25/D$12</f>
        <v>0.2632152293038062</v>
      </c>
      <c r="F25" s="16">
        <f>SUM(F26:F37)</f>
        <v>27384912.456767995</v>
      </c>
      <c r="G25" s="17">
        <f t="shared" si="1"/>
        <v>0.27428798534423071</v>
      </c>
      <c r="H25" s="16">
        <f>SUM(H26:H37)</f>
        <v>27384912.456767995</v>
      </c>
      <c r="I25" s="17">
        <f t="shared" ref="I25:I37" si="10">H25/H$12</f>
        <v>0.26499818518258172</v>
      </c>
      <c r="J25" s="16">
        <f>SUM(J26:J37)</f>
        <v>27384912.456767995</v>
      </c>
      <c r="K25" s="17">
        <f t="shared" ref="K25:M57" si="11">J25/J$12</f>
        <v>0.26510079822621485</v>
      </c>
      <c r="L25" s="16">
        <f>SUM(L26:L37)</f>
        <v>27384912.456767995</v>
      </c>
      <c r="M25" s="17">
        <f t="shared" si="11"/>
        <v>0.25631703909367276</v>
      </c>
      <c r="N25" s="16">
        <f>SUM(N26:N37)</f>
        <v>27384912.456767995</v>
      </c>
      <c r="O25" s="17">
        <f t="shared" si="2"/>
        <v>0.270228068450444</v>
      </c>
      <c r="P25" s="16">
        <f>SUM(P26:P37)</f>
        <v>27384912.456767995</v>
      </c>
      <c r="Q25" s="17">
        <f t="shared" si="3"/>
        <v>0.26245842875951692</v>
      </c>
      <c r="R25" s="16">
        <f>SUM(R26:R37)</f>
        <v>27384912.456767995</v>
      </c>
      <c r="S25" s="17">
        <f t="shared" si="4"/>
        <v>0.26245842875951692</v>
      </c>
      <c r="T25" s="16">
        <f>SUM(T26:T37)</f>
        <v>27384912.456767995</v>
      </c>
      <c r="U25" s="17">
        <f t="shared" si="5"/>
        <v>0.26837428907063893</v>
      </c>
      <c r="V25" s="16">
        <f>SUM(V26:V37)</f>
        <v>27384912.456767995</v>
      </c>
      <c r="W25" s="17">
        <f t="shared" si="6"/>
        <v>0.25100744689979831</v>
      </c>
      <c r="X25" s="16">
        <f>SUM(X26:X37)</f>
        <v>27384912.456767995</v>
      </c>
      <c r="Y25" s="17">
        <f t="shared" si="7"/>
        <v>0.29475488791418614</v>
      </c>
      <c r="Z25" s="16">
        <f>SUM(Z26:Z37)</f>
        <v>27384912.456767995</v>
      </c>
      <c r="AA25" s="17">
        <f>Z25/Z$12</f>
        <v>0.27324192030034589</v>
      </c>
      <c r="AB25" s="18">
        <f t="shared" si="8"/>
        <v>328618952.41441673</v>
      </c>
      <c r="AC25" s="22">
        <f>AB26/AB$12</f>
        <v>0.15277072079018786</v>
      </c>
    </row>
    <row r="26" spans="2:29" ht="11.15" customHeight="1" x14ac:dyDescent="0.25">
      <c r="B26" s="19" t="s">
        <v>18</v>
      </c>
      <c r="C26" s="20"/>
      <c r="D26" s="21">
        <f>+Nómina!$D$46</f>
        <v>15680000</v>
      </c>
      <c r="E26" s="22">
        <f t="shared" si="9"/>
        <v>0.15071126489811612</v>
      </c>
      <c r="F26" s="21">
        <f>+Nómina!$D$46</f>
        <v>15680000</v>
      </c>
      <c r="G26" s="22">
        <f t="shared" si="1"/>
        <v>0.15705128205128205</v>
      </c>
      <c r="H26" s="21">
        <f>+Nómina!$D$46</f>
        <v>15680000</v>
      </c>
      <c r="I26" s="22">
        <f t="shared" si="10"/>
        <v>0.15173214631314108</v>
      </c>
      <c r="J26" s="21">
        <f>+Nómina!$D$46</f>
        <v>15680000</v>
      </c>
      <c r="K26" s="22">
        <f t="shared" si="11"/>
        <v>0.15179090029041625</v>
      </c>
      <c r="L26" s="21">
        <f>+Nómina!$D$46</f>
        <v>15680000</v>
      </c>
      <c r="M26" s="22">
        <f t="shared" si="11"/>
        <v>0.14676151254211905</v>
      </c>
      <c r="N26" s="21">
        <f>+Nómina!$D$46</f>
        <v>15680000</v>
      </c>
      <c r="O26" s="22">
        <f t="shared" si="2"/>
        <v>0.15472666271955793</v>
      </c>
      <c r="P26" s="21">
        <f>+Nómina!$D$46</f>
        <v>15680000</v>
      </c>
      <c r="Q26" s="22">
        <f t="shared" si="3"/>
        <v>0.15027793751198007</v>
      </c>
      <c r="R26" s="21">
        <f>+Nómina!$D$46</f>
        <v>15680000</v>
      </c>
      <c r="S26" s="22">
        <f t="shared" si="4"/>
        <v>0.15027793751198007</v>
      </c>
      <c r="T26" s="21">
        <f>+Nómina!$D$46</f>
        <v>15680000</v>
      </c>
      <c r="U26" s="22">
        <f t="shared" si="5"/>
        <v>0.15366522932183457</v>
      </c>
      <c r="V26" s="21">
        <f>+Nómina!$D$46</f>
        <v>15680000</v>
      </c>
      <c r="W26" s="22">
        <f t="shared" si="6"/>
        <v>0.14372135655362053</v>
      </c>
      <c r="X26" s="21">
        <f>+Nómina!$D$46</f>
        <v>15680000</v>
      </c>
      <c r="Y26" s="22">
        <f t="shared" si="7"/>
        <v>0.1687701813832968</v>
      </c>
      <c r="Z26" s="21">
        <f>+Nómina!$D$46</f>
        <v>15680000</v>
      </c>
      <c r="AA26" s="22">
        <f>Z26/Z$12</f>
        <v>0.15645232815964524</v>
      </c>
      <c r="AB26" s="23">
        <f t="shared" si="8"/>
        <v>188160001.67948642</v>
      </c>
      <c r="AC26" s="22">
        <f>AB27/AB$12</f>
        <v>1.5277072079018784E-2</v>
      </c>
    </row>
    <row r="27" spans="2:29" ht="11.15" customHeight="1" x14ac:dyDescent="0.25">
      <c r="B27" s="19" t="s">
        <v>19</v>
      </c>
      <c r="C27" s="20"/>
      <c r="D27" s="21">
        <f>+(D26*0.1)</f>
        <v>1568000</v>
      </c>
      <c r="E27" s="22">
        <f t="shared" si="9"/>
        <v>1.507112648981161E-2</v>
      </c>
      <c r="F27" s="21">
        <f>+(F26*0.1)</f>
        <v>1568000</v>
      </c>
      <c r="G27" s="22">
        <f t="shared" si="1"/>
        <v>1.5705128205128205E-2</v>
      </c>
      <c r="H27" s="21">
        <f>+(H26*0.1)</f>
        <v>1568000</v>
      </c>
      <c r="I27" s="22">
        <f t="shared" si="10"/>
        <v>1.5173214631314109E-2</v>
      </c>
      <c r="J27" s="21">
        <f>+(J26*0.1)</f>
        <v>1568000</v>
      </c>
      <c r="K27" s="22">
        <f t="shared" si="11"/>
        <v>1.5179090029041626E-2</v>
      </c>
      <c r="L27" s="21">
        <f>+(L26*0.1)</f>
        <v>1568000</v>
      </c>
      <c r="M27" s="22">
        <f t="shared" si="11"/>
        <v>1.4676151254211905E-2</v>
      </c>
      <c r="N27" s="21">
        <f>+(N26*0.1)</f>
        <v>1568000</v>
      </c>
      <c r="O27" s="22">
        <f t="shared" si="2"/>
        <v>1.5472666271955792E-2</v>
      </c>
      <c r="P27" s="21">
        <f>+(P26*0.1)</f>
        <v>1568000</v>
      </c>
      <c r="Q27" s="22">
        <f t="shared" si="3"/>
        <v>1.5027793751198006E-2</v>
      </c>
      <c r="R27" s="21">
        <f>+(R26*0.1)</f>
        <v>1568000</v>
      </c>
      <c r="S27" s="22">
        <f t="shared" si="4"/>
        <v>1.5027793751198006E-2</v>
      </c>
      <c r="T27" s="21">
        <f>+(T26*0.1)</f>
        <v>1568000</v>
      </c>
      <c r="U27" s="22">
        <f t="shared" si="5"/>
        <v>1.5366522932183458E-2</v>
      </c>
      <c r="V27" s="21">
        <f>+(V26*0.1)</f>
        <v>1568000</v>
      </c>
      <c r="W27" s="22">
        <f t="shared" si="6"/>
        <v>1.4372135655362054E-2</v>
      </c>
      <c r="X27" s="21">
        <f>+(X26*0.1)</f>
        <v>1568000</v>
      </c>
      <c r="Y27" s="22">
        <f t="shared" si="7"/>
        <v>1.6877018138329682E-2</v>
      </c>
      <c r="Z27" s="21">
        <f>+(Z26*0.1)</f>
        <v>1568000</v>
      </c>
      <c r="AA27" s="22">
        <f>Z27/Z$12</f>
        <v>1.5645232815964527E-2</v>
      </c>
      <c r="AB27" s="23">
        <f t="shared" si="8"/>
        <v>18816000.167948641</v>
      </c>
      <c r="AC27" s="22">
        <f>AB28/AB$12</f>
        <v>1.6033754812402021E-2</v>
      </c>
    </row>
    <row r="28" spans="2:29" ht="11.15" customHeight="1" x14ac:dyDescent="0.25">
      <c r="B28" s="19" t="s">
        <v>20</v>
      </c>
      <c r="C28" s="20"/>
      <c r="D28" s="21">
        <f>+Nómina!$D$64*Nómina!$A$44</f>
        <v>1645664</v>
      </c>
      <c r="E28" s="22">
        <f t="shared" si="9"/>
        <v>1.5817608612072279E-2</v>
      </c>
      <c r="F28" s="21">
        <f>+Nómina!$D$64*Nómina!$A$44</f>
        <v>1645664</v>
      </c>
      <c r="G28" s="22">
        <f t="shared" si="1"/>
        <v>1.6483012820512819E-2</v>
      </c>
      <c r="H28" s="21">
        <f>+Nómina!$D$64*Nómina!$A$44</f>
        <v>1645664</v>
      </c>
      <c r="I28" s="22">
        <f t="shared" si="10"/>
        <v>1.592475324172634E-2</v>
      </c>
      <c r="J28" s="21">
        <f>+Nómina!$D$64*Nómina!$A$44</f>
        <v>1645664</v>
      </c>
      <c r="K28" s="22">
        <f t="shared" si="11"/>
        <v>1.5930919651500484E-2</v>
      </c>
      <c r="L28" s="21">
        <f>+Nómina!$D$64*Nómina!$A$44</f>
        <v>1645664</v>
      </c>
      <c r="M28" s="22">
        <f t="shared" si="11"/>
        <v>1.5403070011231748E-2</v>
      </c>
      <c r="N28" s="21">
        <f>+Nómina!$D$64*Nómina!$A$44</f>
        <v>1645664</v>
      </c>
      <c r="O28" s="22">
        <f t="shared" si="2"/>
        <v>1.6239036905466745E-2</v>
      </c>
      <c r="P28" s="21">
        <f>+Nómina!$D$64*Nómina!$A$44</f>
        <v>1645664</v>
      </c>
      <c r="Q28" s="22">
        <f t="shared" si="3"/>
        <v>1.5772129576384894E-2</v>
      </c>
      <c r="R28" s="21">
        <f>+Nómina!$D$64*Nómina!$A$44</f>
        <v>1645664</v>
      </c>
      <c r="S28" s="22">
        <f t="shared" si="4"/>
        <v>1.5772129576384894E-2</v>
      </c>
      <c r="T28" s="21">
        <f>+Nómina!$D$64*Nómina!$A$44</f>
        <v>1645664</v>
      </c>
      <c r="U28" s="22">
        <f t="shared" si="5"/>
        <v>1.6127636221089769E-2</v>
      </c>
      <c r="V28" s="21">
        <f>+Nómina!$D$64*Nómina!$A$44</f>
        <v>1645664</v>
      </c>
      <c r="W28" s="22">
        <f t="shared" si="6"/>
        <v>1.5083996333638864E-2</v>
      </c>
      <c r="X28" s="21">
        <f>+Nómina!$D$64*Nómina!$A$44</f>
        <v>1645664</v>
      </c>
      <c r="Y28" s="22">
        <f t="shared" si="7"/>
        <v>1.7712947179589399E-2</v>
      </c>
      <c r="Z28" s="21">
        <f>+Nómina!$D$64*Nómina!$A$44</f>
        <v>1645664</v>
      </c>
      <c r="AA28" s="22">
        <f>Z28/Z$12</f>
        <v>1.6420150776053216E-2</v>
      </c>
      <c r="AB28" s="23">
        <f t="shared" si="8"/>
        <v>19747968.17626724</v>
      </c>
      <c r="AC28" s="22">
        <f>AB29/AB$12</f>
        <v>1.4003982683084623E-2</v>
      </c>
    </row>
    <row r="29" spans="2:29" ht="11.15" customHeight="1" x14ac:dyDescent="0.25">
      <c r="B29" s="19" t="s">
        <v>21</v>
      </c>
      <c r="C29" s="20"/>
      <c r="D29" s="21">
        <f>0.083333333*($D$26+$D$27)</f>
        <v>1437333.3275839998</v>
      </c>
      <c r="E29" s="22">
        <f t="shared" si="9"/>
        <v>1.3815199227066512E-2</v>
      </c>
      <c r="F29" s="21">
        <f>0.083333333*($D$26+$D$27)</f>
        <v>1437333.3275839998</v>
      </c>
      <c r="G29" s="22">
        <f t="shared" si="1"/>
        <v>1.4396367463782049E-2</v>
      </c>
      <c r="H29" s="21">
        <f>0.083333333*($D$26+$D$27)</f>
        <v>1437333.3275839998</v>
      </c>
      <c r="I29" s="22">
        <f t="shared" si="10"/>
        <v>1.3908780023069478E-2</v>
      </c>
      <c r="J29" s="21">
        <f>0.083333333*($D$26+$D$27)</f>
        <v>1437333.3275839998</v>
      </c>
      <c r="K29" s="22">
        <f t="shared" si="11"/>
        <v>1.3914165804298158E-2</v>
      </c>
      <c r="L29" s="21">
        <f>0.083333333*($D$26+$D$27)</f>
        <v>1437333.3275839998</v>
      </c>
      <c r="M29" s="22">
        <f t="shared" si="11"/>
        <v>1.3453138595881691E-2</v>
      </c>
      <c r="N29" s="21">
        <f>0.083333333*($D$26+$D$27)</f>
        <v>1437333.3275839998</v>
      </c>
      <c r="O29" s="22">
        <f t="shared" si="2"/>
        <v>1.4183277359226365E-2</v>
      </c>
      <c r="P29" s="21">
        <f>0.083333333*($D$26+$D$27)</f>
        <v>1437333.3275839998</v>
      </c>
      <c r="Q29" s="22">
        <f t="shared" si="3"/>
        <v>1.3775477550162927E-2</v>
      </c>
      <c r="R29" s="21">
        <f>0.083333333*($D$26+$D$27)</f>
        <v>1437333.3275839998</v>
      </c>
      <c r="S29" s="22">
        <f t="shared" si="4"/>
        <v>1.3775477550162927E-2</v>
      </c>
      <c r="T29" s="21">
        <f>0.083333333*($D$26+$D$27)</f>
        <v>1437333.3275839998</v>
      </c>
      <c r="U29" s="22">
        <f t="shared" si="5"/>
        <v>1.4085979298157584E-2</v>
      </c>
      <c r="V29" s="21">
        <f>0.083333333*($D$26+$D$27)</f>
        <v>1437333.3275839998</v>
      </c>
      <c r="W29" s="22">
        <f t="shared" si="6"/>
        <v>1.317445763138405E-2</v>
      </c>
      <c r="X29" s="21">
        <f>0.083333333*($D$26+$D$27)</f>
        <v>1437333.3275839998</v>
      </c>
      <c r="Y29" s="22">
        <f t="shared" si="7"/>
        <v>1.5470599898253138E-2</v>
      </c>
      <c r="Z29" s="21">
        <f>0.083333333*($D$26+$D$27)</f>
        <v>1437333.3275839998</v>
      </c>
      <c r="AA29" s="22">
        <f>Z29/Z$12</f>
        <v>1.4341463357268294E-2</v>
      </c>
      <c r="AB29" s="23">
        <f t="shared" si="8"/>
        <v>17248000.084960923</v>
      </c>
      <c r="AC29" s="22">
        <f>AB30/AB$12</f>
        <v>1.4003982683084623E-2</v>
      </c>
    </row>
    <row r="30" spans="2:29" ht="11.15" customHeight="1" x14ac:dyDescent="0.25">
      <c r="B30" s="19" t="s">
        <v>22</v>
      </c>
      <c r="C30" s="20"/>
      <c r="D30" s="21">
        <f>0.083333333*($D$26+$D$27)</f>
        <v>1437333.3275839998</v>
      </c>
      <c r="E30" s="22">
        <f t="shared" si="9"/>
        <v>1.3815199227066512E-2</v>
      </c>
      <c r="F30" s="21">
        <f>0.083333333*($D$26+$D$27)</f>
        <v>1437333.3275839998</v>
      </c>
      <c r="G30" s="22">
        <f t="shared" si="1"/>
        <v>1.4396367463782049E-2</v>
      </c>
      <c r="H30" s="21">
        <f>0.083333333*($D$26+$D$27)</f>
        <v>1437333.3275839998</v>
      </c>
      <c r="I30" s="22">
        <f t="shared" si="10"/>
        <v>1.3908780023069478E-2</v>
      </c>
      <c r="J30" s="21">
        <f>0.083333333*($D$26+$D$27)</f>
        <v>1437333.3275839998</v>
      </c>
      <c r="K30" s="22">
        <f t="shared" si="11"/>
        <v>1.3914165804298158E-2</v>
      </c>
      <c r="L30" s="21">
        <f>0.083333333*($D$26+$D$27)</f>
        <v>1437333.3275839998</v>
      </c>
      <c r="M30" s="22">
        <f t="shared" si="11"/>
        <v>1.3453138595881691E-2</v>
      </c>
      <c r="N30" s="21">
        <f>0.083333333*($D$26+$D$27)</f>
        <v>1437333.3275839998</v>
      </c>
      <c r="O30" s="22">
        <f t="shared" si="2"/>
        <v>1.4183277359226365E-2</v>
      </c>
      <c r="P30" s="21">
        <f>0.083333333*($D$26+$D$27)</f>
        <v>1437333.3275839998</v>
      </c>
      <c r="Q30" s="22">
        <f t="shared" si="3"/>
        <v>1.3775477550162927E-2</v>
      </c>
      <c r="R30" s="21">
        <f>0.083333333*($D$26+$D$27)</f>
        <v>1437333.3275839998</v>
      </c>
      <c r="S30" s="22">
        <f t="shared" si="4"/>
        <v>1.3775477550162927E-2</v>
      </c>
      <c r="T30" s="21">
        <f>0.083333333*($D$26+$D$27)</f>
        <v>1437333.3275839998</v>
      </c>
      <c r="U30" s="22">
        <f t="shared" si="5"/>
        <v>1.4085979298157584E-2</v>
      </c>
      <c r="V30" s="21">
        <f>0.083333333*($D$26+$D$27)</f>
        <v>1437333.3275839998</v>
      </c>
      <c r="W30" s="22">
        <f t="shared" si="6"/>
        <v>1.317445763138405E-2</v>
      </c>
      <c r="X30" s="21">
        <f>0.083333333*($D$26+$D$27)</f>
        <v>1437333.3275839998</v>
      </c>
      <c r="Y30" s="22">
        <f t="shared" si="7"/>
        <v>1.5470599898253138E-2</v>
      </c>
      <c r="Z30" s="21">
        <f>0.083333333*($D$26+$D$27)</f>
        <v>1437333.3275839998</v>
      </c>
      <c r="AA30" s="22">
        <f>Z30/Z$12</f>
        <v>1.4341463357268294E-2</v>
      </c>
      <c r="AB30" s="23">
        <f t="shared" si="8"/>
        <v>17248000.084960923</v>
      </c>
      <c r="AC30" s="22">
        <f>AB31/AB$12</f>
        <v>7.001996971143374E-3</v>
      </c>
    </row>
    <row r="31" spans="2:29" ht="11.15" customHeight="1" x14ac:dyDescent="0.25">
      <c r="B31" s="19" t="s">
        <v>23</v>
      </c>
      <c r="C31" s="20"/>
      <c r="D31" s="21">
        <f>0.0416667*($D$26+$D$27)</f>
        <v>718667.24160000007</v>
      </c>
      <c r="E31" s="22">
        <f t="shared" si="9"/>
        <v>6.9076051672433683E-3</v>
      </c>
      <c r="F31" s="21">
        <f>0.0416667*($D$26+$D$27)</f>
        <v>718667.24160000007</v>
      </c>
      <c r="G31" s="22">
        <f t="shared" si="1"/>
        <v>7.1981895192307702E-3</v>
      </c>
      <c r="H31" s="21">
        <f>0.0416667*($D$26+$D$27)</f>
        <v>718667.24160000007</v>
      </c>
      <c r="I31" s="22">
        <f t="shared" si="10"/>
        <v>6.9543956028643317E-3</v>
      </c>
      <c r="J31" s="21">
        <f>0.0416667*($D$26+$D$27)</f>
        <v>718667.24160000007</v>
      </c>
      <c r="K31" s="22">
        <f t="shared" si="11"/>
        <v>6.9570884956437571E-3</v>
      </c>
      <c r="L31" s="21">
        <f>0.0416667*($D$26+$D$27)</f>
        <v>718667.24160000007</v>
      </c>
      <c r="M31" s="22">
        <f t="shared" si="11"/>
        <v>6.7265747061025843E-3</v>
      </c>
      <c r="N31" s="21">
        <f>0.0416667*($D$26+$D$27)</f>
        <v>718667.24160000007</v>
      </c>
      <c r="O31" s="22">
        <f t="shared" si="2"/>
        <v>7.091644381290705E-3</v>
      </c>
      <c r="P31" s="21">
        <f>0.0416667*($D$26+$D$27)</f>
        <v>718667.24160000007</v>
      </c>
      <c r="Q31" s="22">
        <f t="shared" si="3"/>
        <v>6.8877443128234628E-3</v>
      </c>
      <c r="R31" s="21">
        <f>0.0416667*($D$26+$D$27)</f>
        <v>718667.24160000007</v>
      </c>
      <c r="S31" s="22">
        <f t="shared" si="4"/>
        <v>6.8877443128234628E-3</v>
      </c>
      <c r="T31" s="21">
        <f>0.0416667*($D$26+$D$27)</f>
        <v>718667.24160000007</v>
      </c>
      <c r="U31" s="22">
        <f t="shared" si="5"/>
        <v>7.0429953116424937E-3</v>
      </c>
      <c r="V31" s="21">
        <f>0.0416667*($D$26+$D$27)</f>
        <v>718667.24160000007</v>
      </c>
      <c r="W31" s="22">
        <f t="shared" si="6"/>
        <v>6.5872341118240153E-3</v>
      </c>
      <c r="X31" s="21">
        <f>0.0416667*($D$26+$D$27)</f>
        <v>718667.24160000007</v>
      </c>
      <c r="Y31" s="22">
        <f t="shared" si="7"/>
        <v>7.7353061683077548E-3</v>
      </c>
      <c r="Z31" s="21">
        <f>0.0416667*($D$26+$D$27)</f>
        <v>718667.24160000007</v>
      </c>
      <c r="AA31" s="22">
        <f>Z31/Z$12</f>
        <v>7.1707374439024408E-3</v>
      </c>
      <c r="AB31" s="23">
        <f t="shared" si="8"/>
        <v>8624006.9761765245</v>
      </c>
      <c r="AC31" s="22">
        <f>AB32/AB$12</f>
        <v>8.772094787772584E-4</v>
      </c>
    </row>
    <row r="32" spans="2:29" ht="11.15" customHeight="1" x14ac:dyDescent="0.25">
      <c r="B32" s="19" t="s">
        <v>24</v>
      </c>
      <c r="C32" s="20"/>
      <c r="D32" s="21">
        <f>0.00522*(D26+D27)</f>
        <v>90034.559999999998</v>
      </c>
      <c r="E32" s="22">
        <f t="shared" si="9"/>
        <v>8.6538408304498264E-4</v>
      </c>
      <c r="F32" s="21">
        <f>0.00522*(F26+F27)</f>
        <v>90034.559999999998</v>
      </c>
      <c r="G32" s="22">
        <f t="shared" si="1"/>
        <v>9.0178846153846147E-4</v>
      </c>
      <c r="H32" s="21">
        <f>0.00522*(H26+H27)</f>
        <v>90034.559999999998</v>
      </c>
      <c r="I32" s="22">
        <f t="shared" si="10"/>
        <v>8.7124598413005608E-4</v>
      </c>
      <c r="J32" s="21">
        <f>0.00522*(J26+J27)</f>
        <v>90034.559999999998</v>
      </c>
      <c r="K32" s="22">
        <f t="shared" si="11"/>
        <v>8.7158334946757011E-4</v>
      </c>
      <c r="L32" s="21">
        <f>0.00522*(L26+L27)</f>
        <v>90034.559999999998</v>
      </c>
      <c r="M32" s="22">
        <f t="shared" si="11"/>
        <v>8.427046050168476E-4</v>
      </c>
      <c r="N32" s="21">
        <f>0.00522*(N26+N27)</f>
        <v>90034.559999999998</v>
      </c>
      <c r="O32" s="22">
        <f t="shared" si="2"/>
        <v>8.8844049733570159E-4</v>
      </c>
      <c r="P32" s="21">
        <f>0.00522*(P26+P27)</f>
        <v>90034.559999999998</v>
      </c>
      <c r="Q32" s="22">
        <f t="shared" si="3"/>
        <v>8.6289591719378948E-4</v>
      </c>
      <c r="R32" s="21">
        <f>0.00522*(R26+R27)</f>
        <v>90034.559999999998</v>
      </c>
      <c r="S32" s="22">
        <f t="shared" si="4"/>
        <v>8.6289591719378948E-4</v>
      </c>
      <c r="T32" s="21">
        <f>0.00522*(T26+T27)</f>
        <v>90034.559999999998</v>
      </c>
      <c r="U32" s="22">
        <f t="shared" si="5"/>
        <v>8.8234574676597413E-4</v>
      </c>
      <c r="V32" s="21">
        <f>0.00522*(V26+V27)</f>
        <v>90034.559999999998</v>
      </c>
      <c r="W32" s="22">
        <f t="shared" si="6"/>
        <v>8.2524802933088906E-4</v>
      </c>
      <c r="X32" s="21">
        <f>0.00522*(X26+X27)</f>
        <v>90034.559999999998</v>
      </c>
      <c r="Y32" s="22">
        <f t="shared" si="7"/>
        <v>9.6907838150289021E-4</v>
      </c>
      <c r="Z32" s="21">
        <f>0.00522*(Z26+Z27)</f>
        <v>90034.559999999998</v>
      </c>
      <c r="AA32" s="22">
        <f>Z32/Z$12</f>
        <v>8.9834926829268299E-4</v>
      </c>
      <c r="AB32" s="23">
        <f t="shared" si="8"/>
        <v>1080414.7296436108</v>
      </c>
      <c r="AC32" s="22">
        <f>AB33/AB$12</f>
        <v>1.344382342953653E-2</v>
      </c>
    </row>
    <row r="33" spans="1:29" ht="11.15" customHeight="1" x14ac:dyDescent="0.25">
      <c r="B33" s="19" t="s">
        <v>25</v>
      </c>
      <c r="C33" s="20"/>
      <c r="D33" s="21">
        <f>0.08*(D26+D27)</f>
        <v>1379840</v>
      </c>
      <c r="E33" s="22">
        <f t="shared" si="9"/>
        <v>1.3262591311034218E-2</v>
      </c>
      <c r="F33" s="21">
        <f>0.08*(F26+F27)</f>
        <v>1379840</v>
      </c>
      <c r="G33" s="22">
        <f t="shared" si="1"/>
        <v>1.3820512820512821E-2</v>
      </c>
      <c r="H33" s="21">
        <f>0.08*(H26+H27)</f>
        <v>1379840</v>
      </c>
      <c r="I33" s="22">
        <f t="shared" si="10"/>
        <v>1.3352428875556415E-2</v>
      </c>
      <c r="J33" s="21">
        <f>0.08*(J26+J27)</f>
        <v>1379840</v>
      </c>
      <c r="K33" s="22">
        <f t="shared" si="11"/>
        <v>1.3357599225556632E-2</v>
      </c>
      <c r="L33" s="21">
        <f>0.08*(L26+L27)</f>
        <v>1379840</v>
      </c>
      <c r="M33" s="22">
        <f t="shared" si="11"/>
        <v>1.2915013103706477E-2</v>
      </c>
      <c r="N33" s="21">
        <f>0.08*(N26+N27)</f>
        <v>1379840</v>
      </c>
      <c r="O33" s="22">
        <f t="shared" si="2"/>
        <v>1.3615946319321098E-2</v>
      </c>
      <c r="P33" s="21">
        <f>0.08*(P26+P27)</f>
        <v>1379840</v>
      </c>
      <c r="Q33" s="22">
        <f t="shared" si="3"/>
        <v>1.3224458501054246E-2</v>
      </c>
      <c r="R33" s="21">
        <f>0.08*(R26+R27)</f>
        <v>1379840</v>
      </c>
      <c r="S33" s="22">
        <f t="shared" si="4"/>
        <v>1.3224458501054246E-2</v>
      </c>
      <c r="T33" s="21">
        <f>0.08*(T26+T27)</f>
        <v>1379840</v>
      </c>
      <c r="U33" s="22">
        <f t="shared" si="5"/>
        <v>1.3522540180321443E-2</v>
      </c>
      <c r="V33" s="21">
        <f>0.08*(V26+V27)</f>
        <v>1379840</v>
      </c>
      <c r="W33" s="22">
        <f t="shared" si="6"/>
        <v>1.2647479376718607E-2</v>
      </c>
      <c r="X33" s="21">
        <f>0.08*(X26+X27)</f>
        <v>1379840</v>
      </c>
      <c r="Y33" s="22">
        <f t="shared" si="7"/>
        <v>1.4851775961730119E-2</v>
      </c>
      <c r="Z33" s="21">
        <f>0.08*(Z26+Z27)</f>
        <v>1379840</v>
      </c>
      <c r="AA33" s="22">
        <f>Z33/Z$12</f>
        <v>1.3767804878048783E-2</v>
      </c>
      <c r="AB33" s="23">
        <f t="shared" si="8"/>
        <v>16558080.147794804</v>
      </c>
      <c r="AC33" s="22">
        <f>AB34/AB$12</f>
        <v>1.8275197474526217E-2</v>
      </c>
    </row>
    <row r="34" spans="1:29" ht="11.15" customHeight="1" x14ac:dyDescent="0.25">
      <c r="B34" s="19" t="s">
        <v>26</v>
      </c>
      <c r="C34" s="20"/>
      <c r="D34" s="21">
        <f>0.10875*(D26+D27)</f>
        <v>1875720</v>
      </c>
      <c r="E34" s="22">
        <f t="shared" si="9"/>
        <v>1.8028835063437141E-2</v>
      </c>
      <c r="F34" s="21">
        <f>0.10875*(F26+F27)</f>
        <v>1875720</v>
      </c>
      <c r="G34" s="22">
        <f t="shared" si="1"/>
        <v>1.8787259615384615E-2</v>
      </c>
      <c r="H34" s="21">
        <f>0.10875*(H26+H27)</f>
        <v>1875720</v>
      </c>
      <c r="I34" s="22">
        <f t="shared" si="10"/>
        <v>1.8150958002709501E-2</v>
      </c>
      <c r="J34" s="21">
        <f>0.10875*(J26+J27)</f>
        <v>1875720</v>
      </c>
      <c r="K34" s="22">
        <f t="shared" si="11"/>
        <v>1.8157986447241044E-2</v>
      </c>
      <c r="L34" s="21">
        <f>0.10875*(L26+L27)</f>
        <v>1875720</v>
      </c>
      <c r="M34" s="22">
        <f t="shared" si="11"/>
        <v>1.7556345937850992E-2</v>
      </c>
      <c r="N34" s="21">
        <f>0.10875*(N26+N27)</f>
        <v>1875720</v>
      </c>
      <c r="O34" s="22">
        <f t="shared" si="2"/>
        <v>1.8509177027827117E-2</v>
      </c>
      <c r="P34" s="21">
        <f>0.10875*(P26+P27)</f>
        <v>1875720</v>
      </c>
      <c r="Q34" s="22">
        <f t="shared" si="3"/>
        <v>1.7976998274870617E-2</v>
      </c>
      <c r="R34" s="21">
        <f>0.10875*(R26+R27)</f>
        <v>1875720</v>
      </c>
      <c r="S34" s="22">
        <f t="shared" si="4"/>
        <v>1.7976998274870617E-2</v>
      </c>
      <c r="T34" s="21">
        <f>0.10875*(T26+T27)</f>
        <v>1875720</v>
      </c>
      <c r="U34" s="22">
        <f t="shared" si="5"/>
        <v>1.838220305762446E-2</v>
      </c>
      <c r="V34" s="21">
        <f>0.10875*(V26+V27)</f>
        <v>1875720</v>
      </c>
      <c r="W34" s="22">
        <f t="shared" si="6"/>
        <v>1.7192667277726857E-2</v>
      </c>
      <c r="X34" s="21">
        <f>0.10875*(X26+X27)</f>
        <v>1875720</v>
      </c>
      <c r="Y34" s="22">
        <f t="shared" si="7"/>
        <v>2.018913294797688E-2</v>
      </c>
      <c r="Z34" s="21">
        <f>0.10875*(Z26+Z27)</f>
        <v>1875720</v>
      </c>
      <c r="AA34" s="22">
        <f>Z34/Z$12</f>
        <v>1.8715609756097564E-2</v>
      </c>
      <c r="AB34" s="23">
        <f t="shared" si="8"/>
        <v>22508640.200908557</v>
      </c>
      <c r="AC34" s="22">
        <f>AB35/AB$12</f>
        <v>6.7219117147682651E-3</v>
      </c>
    </row>
    <row r="35" spans="1:29" ht="11.15" customHeight="1" x14ac:dyDescent="0.25">
      <c r="B35" s="19" t="s">
        <v>27</v>
      </c>
      <c r="C35" s="20"/>
      <c r="D35" s="21">
        <f>0.04*($D$26+$D$27)</f>
        <v>689920</v>
      </c>
      <c r="E35" s="22">
        <f t="shared" si="9"/>
        <v>6.6312956555171091E-3</v>
      </c>
      <c r="F35" s="21">
        <f>0.04*($D$26+$D$27)</f>
        <v>689920</v>
      </c>
      <c r="G35" s="22">
        <f t="shared" si="1"/>
        <v>6.9102564102564105E-3</v>
      </c>
      <c r="H35" s="21">
        <f>0.04*($D$26+$D$27)</f>
        <v>689920</v>
      </c>
      <c r="I35" s="22">
        <f t="shared" si="10"/>
        <v>6.6762144377782075E-3</v>
      </c>
      <c r="J35" s="21">
        <f>0.04*($D$26+$D$27)</f>
        <v>689920</v>
      </c>
      <c r="K35" s="22">
        <f t="shared" si="11"/>
        <v>6.678799612778316E-3</v>
      </c>
      <c r="L35" s="21">
        <f>0.04*($D$26+$D$27)</f>
        <v>689920</v>
      </c>
      <c r="M35" s="22">
        <f t="shared" si="11"/>
        <v>6.4575065518532385E-3</v>
      </c>
      <c r="N35" s="21">
        <f>0.04*($D$26+$D$27)</f>
        <v>689920</v>
      </c>
      <c r="O35" s="22">
        <f t="shared" si="2"/>
        <v>6.8079731596605488E-3</v>
      </c>
      <c r="P35" s="21">
        <f>0.04*($D$26+$D$27)</f>
        <v>689920</v>
      </c>
      <c r="Q35" s="22">
        <f t="shared" si="3"/>
        <v>6.6122292505271232E-3</v>
      </c>
      <c r="R35" s="21">
        <f>0.04*($D$26+$D$27)</f>
        <v>689920</v>
      </c>
      <c r="S35" s="22">
        <f t="shared" si="4"/>
        <v>6.6122292505271232E-3</v>
      </c>
      <c r="T35" s="21">
        <f>0.04*($D$26+$D$27)</f>
        <v>689920</v>
      </c>
      <c r="U35" s="22">
        <f t="shared" si="5"/>
        <v>6.7612700901607216E-3</v>
      </c>
      <c r="V35" s="21">
        <f>0.04*($D$26+$D$27)</f>
        <v>689920</v>
      </c>
      <c r="W35" s="22">
        <f t="shared" si="6"/>
        <v>6.3237396883593037E-3</v>
      </c>
      <c r="X35" s="21">
        <f>0.04*($D$26+$D$27)</f>
        <v>689920</v>
      </c>
      <c r="Y35" s="22">
        <f t="shared" si="7"/>
        <v>7.4258879808650593E-3</v>
      </c>
      <c r="Z35" s="21">
        <f>0.04*($D$26+$D$27)</f>
        <v>689920</v>
      </c>
      <c r="AA35" s="22">
        <f>Z35/Z$12</f>
        <v>6.8839024390243914E-3</v>
      </c>
      <c r="AB35" s="23">
        <f t="shared" si="8"/>
        <v>8279040.0738974018</v>
      </c>
      <c r="AC35" s="22">
        <f>AB36/AB$12</f>
        <v>3.3609558573841325E-3</v>
      </c>
    </row>
    <row r="36" spans="1:29" ht="11.15" customHeight="1" thickBot="1" x14ac:dyDescent="0.3">
      <c r="B36" s="19" t="s">
        <v>28</v>
      </c>
      <c r="C36" s="20"/>
      <c r="D36" s="21">
        <f>0.02*($D$26+$D$27)</f>
        <v>344960</v>
      </c>
      <c r="E36" s="22">
        <f t="shared" si="9"/>
        <v>3.3156478277585545E-3</v>
      </c>
      <c r="F36" s="21">
        <f>0.02*($D$26+$D$27)</f>
        <v>344960</v>
      </c>
      <c r="G36" s="22">
        <f t="shared" si="1"/>
        <v>3.4551282051282052E-3</v>
      </c>
      <c r="H36" s="21">
        <f>0.02*($D$26+$D$27)</f>
        <v>344960</v>
      </c>
      <c r="I36" s="22">
        <f t="shared" si="10"/>
        <v>3.3381072188891038E-3</v>
      </c>
      <c r="J36" s="21">
        <f>0.02*($D$26+$D$27)</f>
        <v>344960</v>
      </c>
      <c r="K36" s="22">
        <f t="shared" si="11"/>
        <v>3.339399806389158E-3</v>
      </c>
      <c r="L36" s="21">
        <f>0.02*($D$26+$D$27)</f>
        <v>344960</v>
      </c>
      <c r="M36" s="22">
        <f t="shared" si="11"/>
        <v>3.2287532759266192E-3</v>
      </c>
      <c r="N36" s="21">
        <f>0.02*($D$26+$D$27)</f>
        <v>344960</v>
      </c>
      <c r="O36" s="22">
        <f t="shared" si="2"/>
        <v>3.4039865798302744E-3</v>
      </c>
      <c r="P36" s="21">
        <f>0.02*($D$26+$D$27)</f>
        <v>344960</v>
      </c>
      <c r="Q36" s="22">
        <f t="shared" si="3"/>
        <v>3.3061146252635616E-3</v>
      </c>
      <c r="R36" s="21">
        <f>0.02*($D$26+$D$27)</f>
        <v>344960</v>
      </c>
      <c r="S36" s="22">
        <f t="shared" si="4"/>
        <v>3.3061146252635616E-3</v>
      </c>
      <c r="T36" s="21">
        <f>0.02*($D$26+$D$27)</f>
        <v>344960</v>
      </c>
      <c r="U36" s="22">
        <f t="shared" si="5"/>
        <v>3.3806350450803608E-3</v>
      </c>
      <c r="V36" s="21">
        <f>0.02*($D$26+$D$27)</f>
        <v>344960</v>
      </c>
      <c r="W36" s="22">
        <f t="shared" si="6"/>
        <v>3.1618698441796518E-3</v>
      </c>
      <c r="X36" s="21">
        <f>0.02*($D$26+$D$27)</f>
        <v>344960</v>
      </c>
      <c r="Y36" s="22">
        <f t="shared" si="7"/>
        <v>3.7129439904325296E-3</v>
      </c>
      <c r="Z36" s="21">
        <f>0.02*($D$26+$D$27)</f>
        <v>344960</v>
      </c>
      <c r="AA36" s="22">
        <f>Z36/Z$12</f>
        <v>3.4419512195121957E-3</v>
      </c>
      <c r="AB36" s="23">
        <f t="shared" si="8"/>
        <v>4139520.0369487009</v>
      </c>
      <c r="AC36" s="27">
        <f>AB37/AB$12</f>
        <v>5.0414337860761995E-3</v>
      </c>
    </row>
    <row r="37" spans="1:29" ht="11.15" customHeight="1" thickTop="1" thickBot="1" x14ac:dyDescent="0.3">
      <c r="B37" s="24" t="s">
        <v>29</v>
      </c>
      <c r="C37" s="25"/>
      <c r="D37" s="26">
        <f>0.03*($D$26+$D$27)</f>
        <v>517440</v>
      </c>
      <c r="E37" s="27">
        <f t="shared" si="9"/>
        <v>4.973471741637832E-3</v>
      </c>
      <c r="F37" s="26">
        <f>0.03*($D$26+$D$27)</f>
        <v>517440</v>
      </c>
      <c r="G37" s="27">
        <f t="shared" si="1"/>
        <v>5.1826923076923074E-3</v>
      </c>
      <c r="H37" s="26">
        <f>0.03*($D$26+$D$27)</f>
        <v>517440</v>
      </c>
      <c r="I37" s="27">
        <f t="shared" si="10"/>
        <v>5.0071608283336561E-3</v>
      </c>
      <c r="J37" s="26">
        <f>0.03*($D$26+$D$27)</f>
        <v>517440</v>
      </c>
      <c r="K37" s="27">
        <f t="shared" si="11"/>
        <v>5.0090997095837368E-3</v>
      </c>
      <c r="L37" s="26">
        <f>0.03*($D$26+$D$27)</f>
        <v>517440</v>
      </c>
      <c r="M37" s="27">
        <f t="shared" si="11"/>
        <v>4.8431299138899288E-3</v>
      </c>
      <c r="N37" s="26">
        <f>0.03*($D$26+$D$27)</f>
        <v>517440</v>
      </c>
      <c r="O37" s="27">
        <f t="shared" si="2"/>
        <v>5.1059798697454112E-3</v>
      </c>
      <c r="P37" s="26">
        <f>0.03*($D$26+$D$27)</f>
        <v>517440</v>
      </c>
      <c r="Q37" s="27">
        <f t="shared" si="3"/>
        <v>4.9591719378953422E-3</v>
      </c>
      <c r="R37" s="26">
        <f>0.03*($D$26+$D$27)</f>
        <v>517440</v>
      </c>
      <c r="S37" s="27">
        <f t="shared" si="4"/>
        <v>4.9591719378953422E-3</v>
      </c>
      <c r="T37" s="26">
        <f>0.03*($D$26+$D$27)</f>
        <v>517440</v>
      </c>
      <c r="U37" s="27">
        <f t="shared" si="5"/>
        <v>5.0709525676205409E-3</v>
      </c>
      <c r="V37" s="26">
        <f>0.03*($D$26+$D$27)</f>
        <v>517440</v>
      </c>
      <c r="W37" s="27">
        <f t="shared" si="6"/>
        <v>4.7428047662694773E-3</v>
      </c>
      <c r="X37" s="26">
        <f>0.03*($D$26+$D$27)</f>
        <v>517440</v>
      </c>
      <c r="Y37" s="27">
        <f t="shared" si="7"/>
        <v>5.5694159856487947E-3</v>
      </c>
      <c r="Z37" s="26">
        <f>0.03*($D$26+$D$27)</f>
        <v>517440</v>
      </c>
      <c r="AA37" s="27">
        <f>Z37/Z$12</f>
        <v>5.1629268292682938E-3</v>
      </c>
      <c r="AB37" s="28">
        <f t="shared" si="8"/>
        <v>6209280.0554230521</v>
      </c>
      <c r="AC37" s="91">
        <f>AB38/AB$12</f>
        <v>0.03</v>
      </c>
    </row>
    <row r="38" spans="1:29" ht="11.15" customHeight="1" thickTop="1" x14ac:dyDescent="0.25">
      <c r="B38" s="68" t="s">
        <v>118</v>
      </c>
      <c r="C38" s="74"/>
      <c r="D38" s="53">
        <f>(D6+D4+D5)*Nómina!$D$50</f>
        <v>5202000</v>
      </c>
      <c r="E38" s="92">
        <f>D38/D$12</f>
        <v>0.05</v>
      </c>
      <c r="F38" s="53">
        <f>(F6+F4+F5)*Nómina!$D$50</f>
        <v>4992000</v>
      </c>
      <c r="G38" s="92">
        <f t="shared" si="1"/>
        <v>0.05</v>
      </c>
      <c r="H38" s="53">
        <f>(H6+H4+H5)*Nómina!$D$50</f>
        <v>5167000</v>
      </c>
      <c r="I38" s="44">
        <f t="shared" ref="I38:I57" si="12">H38/H$12</f>
        <v>0.05</v>
      </c>
      <c r="J38" s="53">
        <f>(J6+J4+J5)*Nómina!$D$50</f>
        <v>5165000</v>
      </c>
      <c r="K38" s="91">
        <f t="shared" si="11"/>
        <v>0.05</v>
      </c>
      <c r="L38" s="53">
        <f>(L6+L4+L5)*Nómina!$D$50</f>
        <v>5342000</v>
      </c>
      <c r="M38" s="91">
        <f t="shared" si="11"/>
        <v>0.05</v>
      </c>
      <c r="N38" s="53">
        <f>(N6+N4+N5)*Nómina!$D$50</f>
        <v>5067000</v>
      </c>
      <c r="O38" s="91">
        <f t="shared" si="2"/>
        <v>0.05</v>
      </c>
      <c r="P38" s="53">
        <f>(P6+P4+P5)*Nómina!$D$50</f>
        <v>5217000</v>
      </c>
      <c r="Q38" s="91">
        <f t="shared" si="3"/>
        <v>0.05</v>
      </c>
      <c r="R38" s="53">
        <f>(R6+R4+R5)*Nómina!$D$50</f>
        <v>5217000</v>
      </c>
      <c r="S38" s="91">
        <f t="shared" si="4"/>
        <v>0.05</v>
      </c>
      <c r="T38" s="53">
        <f>(T6+T4+T5)*Nómina!$D$50</f>
        <v>5102000</v>
      </c>
      <c r="U38" s="91">
        <f t="shared" si="5"/>
        <v>0.05</v>
      </c>
      <c r="V38" s="53">
        <f>(V6+V4+V5)*Nómina!$D$50</f>
        <v>5455000</v>
      </c>
      <c r="W38" s="91">
        <f t="shared" si="6"/>
        <v>0.05</v>
      </c>
      <c r="X38" s="53">
        <f>(X6+X4+X5)*Nómina!$D$50</f>
        <v>4645370.3703703703</v>
      </c>
      <c r="Y38" s="91">
        <f t="shared" si="7"/>
        <v>0.05</v>
      </c>
      <c r="Z38" s="53">
        <f>(Z6+Z4+Z5)*Nómina!$D$50</f>
        <v>5011111.111111111</v>
      </c>
      <c r="AA38" s="91">
        <f>Z38/Z$12</f>
        <v>0.05</v>
      </c>
      <c r="AB38" s="53">
        <f>(AB6+AB4+AB5)*0.03</f>
        <v>36949488.888888888</v>
      </c>
      <c r="AC38" s="44">
        <f>AB39/AB$12</f>
        <v>0.01</v>
      </c>
    </row>
    <row r="39" spans="1:29" ht="11.15" customHeight="1" x14ac:dyDescent="0.25">
      <c r="B39" s="69" t="s">
        <v>30</v>
      </c>
      <c r="C39" s="56"/>
      <c r="D39" s="54">
        <f>(D4+D5+D6)*0.01</f>
        <v>1040400</v>
      </c>
      <c r="E39" s="44">
        <f t="shared" ref="E39:AA56" si="13">D39/D$12</f>
        <v>0.01</v>
      </c>
      <c r="F39" s="43">
        <f>(F4+F5+F6)*0.01</f>
        <v>998400</v>
      </c>
      <c r="G39" s="94">
        <f t="shared" si="1"/>
        <v>0.01</v>
      </c>
      <c r="H39" s="43">
        <f>(H4+H5+H6)*0.01</f>
        <v>1033400</v>
      </c>
      <c r="I39" s="44">
        <f t="shared" si="12"/>
        <v>0.01</v>
      </c>
      <c r="J39" s="43">
        <f>(J4+J5+J6)*0.01</f>
        <v>1033000</v>
      </c>
      <c r="K39" s="44">
        <f t="shared" si="11"/>
        <v>0.01</v>
      </c>
      <c r="L39" s="43">
        <f>(L4+L5+L6)*0.01</f>
        <v>1068400</v>
      </c>
      <c r="M39" s="44">
        <f t="shared" si="11"/>
        <v>0.01</v>
      </c>
      <c r="N39" s="43">
        <f>(N4+N5+N6)*0.01</f>
        <v>1013400</v>
      </c>
      <c r="O39" s="44">
        <f t="shared" si="2"/>
        <v>0.01</v>
      </c>
      <c r="P39" s="43">
        <f>(P4+P5+P6)*0.01</f>
        <v>1043400</v>
      </c>
      <c r="Q39" s="44">
        <f t="shared" si="3"/>
        <v>0.01</v>
      </c>
      <c r="R39" s="43">
        <f>(R4+R5+R6)*0.01</f>
        <v>1043400</v>
      </c>
      <c r="S39" s="44">
        <f t="shared" si="4"/>
        <v>0.01</v>
      </c>
      <c r="T39" s="43">
        <f>(T4+T5+T6)*0.01</f>
        <v>1020400</v>
      </c>
      <c r="U39" s="44">
        <f t="shared" si="5"/>
        <v>0.01</v>
      </c>
      <c r="V39" s="43">
        <f>(V4+V5+V6)*0.01</f>
        <v>1091000</v>
      </c>
      <c r="W39" s="44">
        <f t="shared" si="6"/>
        <v>0.01</v>
      </c>
      <c r="X39" s="43">
        <f>(X4+X5+X6)*0.01</f>
        <v>929074.07407407404</v>
      </c>
      <c r="Y39" s="44">
        <f t="shared" si="7"/>
        <v>0.01</v>
      </c>
      <c r="Z39" s="43">
        <f>(Z4+Z5+Z6)*0.01</f>
        <v>1002222.2222222221</v>
      </c>
      <c r="AA39" s="44">
        <f>Z39/Z$12</f>
        <v>0.01</v>
      </c>
      <c r="AB39" s="43">
        <f>+D39+F39+H39+J39+L39+P39+R39+T39+V39+X39+Z39+N39</f>
        <v>12316496.296296297</v>
      </c>
      <c r="AC39" s="44">
        <f>AB40/AB$12</f>
        <v>2.5000000223277781E-3</v>
      </c>
    </row>
    <row r="40" spans="1:29" ht="11.15" customHeight="1" x14ac:dyDescent="0.25">
      <c r="A40" s="107" t="s">
        <v>66</v>
      </c>
      <c r="B40" s="69" t="s">
        <v>31</v>
      </c>
      <c r="C40" s="56"/>
      <c r="D40" s="54">
        <f>(D5+D6+D4)*0.0025</f>
        <v>260100</v>
      </c>
      <c r="E40" s="94">
        <f>D40/D$12</f>
        <v>2.5000000000000001E-3</v>
      </c>
      <c r="F40" s="54">
        <f>(F5+F6+F4)*0.0025</f>
        <v>249600</v>
      </c>
      <c r="G40" s="94">
        <f t="shared" si="1"/>
        <v>2.5000000000000001E-3</v>
      </c>
      <c r="H40" s="54">
        <f>(H5+H6+H4)*0.0025</f>
        <v>258350</v>
      </c>
      <c r="I40" s="94">
        <f>H40/H$12</f>
        <v>2.5000000000000001E-3</v>
      </c>
      <c r="J40" s="54">
        <f>(J5+J6+J4)*0.0025</f>
        <v>258250</v>
      </c>
      <c r="K40" s="44">
        <f t="shared" si="11"/>
        <v>2.5000000000000001E-3</v>
      </c>
      <c r="L40" s="54">
        <f>(L5+L6+L4)*0.0025</f>
        <v>267100</v>
      </c>
      <c r="M40" s="44">
        <f t="shared" si="11"/>
        <v>2.5000000000000001E-3</v>
      </c>
      <c r="N40" s="54">
        <f>(N5+N6+N4)*0.0025</f>
        <v>253350</v>
      </c>
      <c r="O40" s="44">
        <f t="shared" si="2"/>
        <v>2.5000000000000001E-3</v>
      </c>
      <c r="P40" s="54">
        <f>(P5+P6+P4)*0.0025</f>
        <v>260850</v>
      </c>
      <c r="Q40" s="44">
        <f t="shared" si="3"/>
        <v>2.5000000000000001E-3</v>
      </c>
      <c r="R40" s="54">
        <f>(R5+R6+R4)*0.0025</f>
        <v>260850</v>
      </c>
      <c r="S40" s="44">
        <f t="shared" si="4"/>
        <v>2.5000000000000001E-3</v>
      </c>
      <c r="T40" s="54">
        <f>(T5+T6+T4)*0.0025</f>
        <v>255100</v>
      </c>
      <c r="U40" s="44">
        <f t="shared" si="5"/>
        <v>2.5000000000000001E-3</v>
      </c>
      <c r="V40" s="54">
        <f>(V5+V6+V4)*0.0025</f>
        <v>272750</v>
      </c>
      <c r="W40" s="44">
        <f t="shared" si="6"/>
        <v>2.5000000000000001E-3</v>
      </c>
      <c r="X40" s="54">
        <f>(X5+X6+X4)*0.0025</f>
        <v>232268.51851851851</v>
      </c>
      <c r="Y40" s="44">
        <f t="shared" si="7"/>
        <v>2.5000000000000001E-3</v>
      </c>
      <c r="Z40" s="54">
        <f>(Z5+Z6+Z4)*0.0025</f>
        <v>250555.55555555553</v>
      </c>
      <c r="AA40" s="44">
        <f>Z40/Z$12</f>
        <v>2.5000000000000001E-3</v>
      </c>
      <c r="AB40" s="43">
        <f>SUM(D40:Z40)</f>
        <v>3079124.1015740735</v>
      </c>
      <c r="AC40" s="90">
        <f>AB41/AB$12</f>
        <v>6.9565238310317926E-2</v>
      </c>
    </row>
    <row r="41" spans="1:29" ht="11.15" hidden="1" customHeight="1" x14ac:dyDescent="0.25">
      <c r="A41" s="110"/>
      <c r="B41" s="69" t="s">
        <v>32</v>
      </c>
      <c r="C41" s="56"/>
      <c r="D41" s="54">
        <f>+Nómina!$D$51</f>
        <v>7140000</v>
      </c>
      <c r="E41" s="44">
        <f t="shared" si="13"/>
        <v>6.8627450980392163E-2</v>
      </c>
      <c r="F41" s="54">
        <f>+Nómina!$D$51</f>
        <v>7140000</v>
      </c>
      <c r="G41" s="93">
        <f t="shared" si="1"/>
        <v>7.1514423076923073E-2</v>
      </c>
      <c r="H41" s="54">
        <f>+Nómina!$D$51</f>
        <v>7140000</v>
      </c>
      <c r="I41" s="93">
        <f>H41/H$12</f>
        <v>6.909231662473389E-2</v>
      </c>
      <c r="J41" s="54">
        <f>+Nómina!$D$51</f>
        <v>7140000</v>
      </c>
      <c r="K41" s="90">
        <f t="shared" si="11"/>
        <v>6.9119070667957402E-2</v>
      </c>
      <c r="L41" s="54">
        <f>+Nómina!$D$51</f>
        <v>7140000</v>
      </c>
      <c r="M41" s="90">
        <f t="shared" si="11"/>
        <v>6.6828903032572065E-2</v>
      </c>
      <c r="N41" s="54">
        <f>+Nómina!$D$51</f>
        <v>7140000</v>
      </c>
      <c r="O41" s="90">
        <f t="shared" si="2"/>
        <v>7.04558910597987E-2</v>
      </c>
      <c r="P41" s="54">
        <f>+Nómina!$D$51</f>
        <v>7140000</v>
      </c>
      <c r="Q41" s="90">
        <f t="shared" si="3"/>
        <v>6.8430132259919493E-2</v>
      </c>
      <c r="R41" s="54">
        <f>+Nómina!$D$51</f>
        <v>7140000</v>
      </c>
      <c r="S41" s="90">
        <f t="shared" si="4"/>
        <v>6.8430132259919493E-2</v>
      </c>
      <c r="T41" s="54">
        <f>+Nómina!$D$51</f>
        <v>7140000</v>
      </c>
      <c r="U41" s="90">
        <f t="shared" si="5"/>
        <v>6.9972559780478241E-2</v>
      </c>
      <c r="V41" s="54">
        <f>+Nómina!$D$51</f>
        <v>7140000</v>
      </c>
      <c r="W41" s="90">
        <f t="shared" si="6"/>
        <v>6.5444546287809352E-2</v>
      </c>
      <c r="X41" s="54">
        <f>+Nómina!$D$51</f>
        <v>7140000</v>
      </c>
      <c r="Y41" s="90">
        <f t="shared" si="7"/>
        <v>7.6850707594179793E-2</v>
      </c>
      <c r="Z41" s="54">
        <f>+Nómina!$D$51</f>
        <v>7140000</v>
      </c>
      <c r="AA41" s="90">
        <f>Z41/Z$12</f>
        <v>7.1241685144124184E-2</v>
      </c>
      <c r="AB41" s="43">
        <f t="shared" ref="AB41:AB56" si="14">+D41+F41+H41+J41+L41+P41+R41+T41+V41+X41+Z41+N41</f>
        <v>85680000</v>
      </c>
      <c r="AC41" s="44">
        <f>AB42/AB$12</f>
        <v>6.9565238310317926E-2</v>
      </c>
    </row>
    <row r="42" spans="1:29" ht="11.15" customHeight="1" x14ac:dyDescent="0.25">
      <c r="A42" s="110"/>
      <c r="B42" s="69" t="s">
        <v>32</v>
      </c>
      <c r="C42" s="56"/>
      <c r="D42" s="54">
        <f>+Nómina!$D$51</f>
        <v>7140000</v>
      </c>
      <c r="E42" s="44">
        <f t="shared" si="13"/>
        <v>6.8627450980392163E-2</v>
      </c>
      <c r="F42" s="54">
        <f>+Nómina!$D$51</f>
        <v>7140000</v>
      </c>
      <c r="G42" s="44">
        <f t="shared" si="13"/>
        <v>7.1514423076923073E-2</v>
      </c>
      <c r="H42" s="54">
        <f>+Nómina!$D$51</f>
        <v>7140000</v>
      </c>
      <c r="I42" s="44">
        <f t="shared" si="13"/>
        <v>6.909231662473389E-2</v>
      </c>
      <c r="J42" s="54">
        <f>+Nómina!$D$51</f>
        <v>7140000</v>
      </c>
      <c r="K42" s="44">
        <f t="shared" si="13"/>
        <v>6.9119070667957402E-2</v>
      </c>
      <c r="L42" s="54">
        <f>+Nómina!$D$51</f>
        <v>7140000</v>
      </c>
      <c r="M42" s="44">
        <f t="shared" si="13"/>
        <v>6.6828903032572065E-2</v>
      </c>
      <c r="N42" s="54">
        <f>+Nómina!$D$51</f>
        <v>7140000</v>
      </c>
      <c r="O42" s="44">
        <f t="shared" si="13"/>
        <v>7.04558910597987E-2</v>
      </c>
      <c r="P42" s="54">
        <f>+Nómina!$D$51</f>
        <v>7140000</v>
      </c>
      <c r="Q42" s="44">
        <f t="shared" si="13"/>
        <v>6.8430132259919493E-2</v>
      </c>
      <c r="R42" s="54">
        <f>+Nómina!$D$51</f>
        <v>7140000</v>
      </c>
      <c r="S42" s="44">
        <f t="shared" si="13"/>
        <v>6.8430132259919493E-2</v>
      </c>
      <c r="T42" s="54">
        <f>+Nómina!$D$51</f>
        <v>7140000</v>
      </c>
      <c r="U42" s="44">
        <f t="shared" si="13"/>
        <v>6.9972559780478241E-2</v>
      </c>
      <c r="V42" s="54">
        <f>+Nómina!$D$51</f>
        <v>7140000</v>
      </c>
      <c r="W42" s="44">
        <f t="shared" si="13"/>
        <v>6.5444546287809352E-2</v>
      </c>
      <c r="X42" s="54">
        <f>+Nómina!$D$51</f>
        <v>7140000</v>
      </c>
      <c r="Y42" s="44">
        <f t="shared" si="13"/>
        <v>7.6850707594179793E-2</v>
      </c>
      <c r="Z42" s="54">
        <f>+Nómina!$D$51</f>
        <v>7140000</v>
      </c>
      <c r="AA42" s="44">
        <f t="shared" si="13"/>
        <v>7.1241685144124184E-2</v>
      </c>
      <c r="AB42" s="43">
        <f>+D42+F42+H42+J42+L42+P42+R42+T42+V42+X42+Z42+N42</f>
        <v>85680000</v>
      </c>
      <c r="AC42" s="44">
        <f>AB43/AB$12</f>
        <v>0</v>
      </c>
    </row>
    <row r="43" spans="1:29" ht="11.15" hidden="1" customHeight="1" x14ac:dyDescent="0.25">
      <c r="A43" s="110"/>
      <c r="B43" s="69" t="s">
        <v>33</v>
      </c>
      <c r="C43" s="56"/>
      <c r="D43" s="54"/>
      <c r="E43" s="44"/>
      <c r="F43" s="54"/>
      <c r="G43" s="44"/>
      <c r="H43" s="54"/>
      <c r="I43" s="44"/>
      <c r="J43" s="54"/>
      <c r="K43" s="44"/>
      <c r="L43" s="54"/>
      <c r="M43" s="44"/>
      <c r="N43" s="54"/>
      <c r="O43" s="44"/>
      <c r="P43" s="54"/>
      <c r="Q43" s="44"/>
      <c r="R43" s="54"/>
      <c r="S43" s="44"/>
      <c r="T43" s="54"/>
      <c r="U43" s="44"/>
      <c r="V43" s="54"/>
      <c r="W43" s="44"/>
      <c r="X43" s="54"/>
      <c r="Y43" s="44"/>
      <c r="Z43" s="54"/>
      <c r="AA43" s="44">
        <f t="shared" ref="AA42:AA45" si="15">Z43/Z$13</f>
        <v>0</v>
      </c>
      <c r="AB43" s="43">
        <f t="shared" ref="AB43:AB45" si="16">+D43+F43+H43+J43+L43+P43+R43+T43+V43+X43+Z43+N43</f>
        <v>0</v>
      </c>
      <c r="AC43" s="44">
        <f>AB44/AB$12</f>
        <v>3.8972122302699122E-3</v>
      </c>
    </row>
    <row r="44" spans="1:29" ht="11.15" hidden="1" customHeight="1" x14ac:dyDescent="0.25">
      <c r="A44" s="110"/>
      <c r="B44" s="69" t="s">
        <v>34</v>
      </c>
      <c r="C44" s="56"/>
      <c r="D44" s="54">
        <f>+Nómina!$D$52</f>
        <v>400000</v>
      </c>
      <c r="E44" s="44">
        <f t="shared" ref="E44:E45" si="17">D44/D$12</f>
        <v>3.8446751249519417E-3</v>
      </c>
      <c r="F44" s="54">
        <f>+Nómina!$D$52</f>
        <v>400000</v>
      </c>
      <c r="G44" s="44">
        <f t="shared" ref="G44:G45" si="18">F44/F$12</f>
        <v>4.0064102564102561E-3</v>
      </c>
      <c r="H44" s="54">
        <f>+Nómina!$D$52</f>
        <v>400000</v>
      </c>
      <c r="I44" s="44">
        <f t="shared" ref="I44:I45" si="19">H44/H$12</f>
        <v>3.8707180181923747E-3</v>
      </c>
      <c r="J44" s="54">
        <f>+Nómina!$D$52</f>
        <v>400000</v>
      </c>
      <c r="K44" s="44">
        <f t="shared" ref="K44:K45" si="20">J44/J$12</f>
        <v>3.8722168441432721E-3</v>
      </c>
      <c r="L44" s="54">
        <f>+Nómina!$D$52</f>
        <v>400000</v>
      </c>
      <c r="M44" s="44">
        <f t="shared" ref="M44:M45" si="21">L44/L$12</f>
        <v>3.7439161362785474E-3</v>
      </c>
      <c r="N44" s="54">
        <f>+Nómina!$D$52</f>
        <v>400000</v>
      </c>
      <c r="O44" s="44">
        <f t="shared" ref="O44:O45" si="22">N44/N$12</f>
        <v>3.9471087428458651E-3</v>
      </c>
      <c r="P44" s="54">
        <f>+Nómina!$D$52</f>
        <v>400000</v>
      </c>
      <c r="Q44" s="44">
        <f t="shared" ref="Q44:Q45" si="23">P44/P$12</f>
        <v>3.8336208548974508E-3</v>
      </c>
      <c r="R44" s="54">
        <f>+Nómina!$D$52</f>
        <v>400000</v>
      </c>
      <c r="S44" s="44">
        <f t="shared" ref="S44:S45" si="24">R44/R$12</f>
        <v>3.8336208548974508E-3</v>
      </c>
      <c r="T44" s="54">
        <f>+Nómina!$D$52</f>
        <v>400000</v>
      </c>
      <c r="U44" s="44">
        <f t="shared" ref="U44:U45" si="25">T44/T$12</f>
        <v>3.9200313602508821E-3</v>
      </c>
      <c r="V44" s="54">
        <f>+Nómina!$D$52</f>
        <v>400000</v>
      </c>
      <c r="W44" s="44">
        <f t="shared" ref="W44:W45" si="26">V44/V$12</f>
        <v>3.6663611365719525E-3</v>
      </c>
      <c r="X44" s="54">
        <f>+Nómina!$D$52</f>
        <v>400000</v>
      </c>
      <c r="Y44" s="44">
        <f t="shared" ref="Y44:Y45" si="27">X44/X$12</f>
        <v>4.3053617699820614E-3</v>
      </c>
      <c r="Z44" s="54">
        <f>+Nómina!$D$52</f>
        <v>400000</v>
      </c>
      <c r="AA44" s="44">
        <f t="shared" si="15"/>
        <v>0.11973392461197341</v>
      </c>
      <c r="AB44" s="43">
        <f t="shared" si="16"/>
        <v>4800000</v>
      </c>
      <c r="AC44" s="44">
        <f>AB45/AB$12</f>
        <v>3.8972122302699122E-3</v>
      </c>
    </row>
    <row r="45" spans="1:29" ht="11.15" customHeight="1" x14ac:dyDescent="0.25">
      <c r="A45" s="110"/>
      <c r="B45" s="69" t="s">
        <v>34</v>
      </c>
      <c r="C45" s="56"/>
      <c r="D45" s="54">
        <f>+Nómina!$D$52</f>
        <v>400000</v>
      </c>
      <c r="E45" s="44">
        <f t="shared" si="17"/>
        <v>3.8446751249519417E-3</v>
      </c>
      <c r="F45" s="54">
        <f>+Nómina!$D$52</f>
        <v>400000</v>
      </c>
      <c r="G45" s="44">
        <f t="shared" si="18"/>
        <v>4.0064102564102561E-3</v>
      </c>
      <c r="H45" s="54">
        <f>+Nómina!$D$52</f>
        <v>400000</v>
      </c>
      <c r="I45" s="44">
        <f t="shared" si="19"/>
        <v>3.8707180181923747E-3</v>
      </c>
      <c r="J45" s="54">
        <f>+Nómina!$D$52</f>
        <v>400000</v>
      </c>
      <c r="K45" s="44">
        <f t="shared" si="20"/>
        <v>3.8722168441432721E-3</v>
      </c>
      <c r="L45" s="54">
        <f>+Nómina!$D$52</f>
        <v>400000</v>
      </c>
      <c r="M45" s="44">
        <f t="shared" si="21"/>
        <v>3.7439161362785474E-3</v>
      </c>
      <c r="N45" s="54">
        <f>+Nómina!$D$52</f>
        <v>400000</v>
      </c>
      <c r="O45" s="44">
        <f t="shared" si="22"/>
        <v>3.9471087428458651E-3</v>
      </c>
      <c r="P45" s="54">
        <f>+Nómina!$D$52</f>
        <v>400000</v>
      </c>
      <c r="Q45" s="44">
        <f t="shared" si="23"/>
        <v>3.8336208548974508E-3</v>
      </c>
      <c r="R45" s="54">
        <f>+Nómina!$D$52</f>
        <v>400000</v>
      </c>
      <c r="S45" s="44">
        <f t="shared" si="24"/>
        <v>3.8336208548974508E-3</v>
      </c>
      <c r="T45" s="54">
        <f>+Nómina!$D$52</f>
        <v>400000</v>
      </c>
      <c r="U45" s="44">
        <f t="shared" si="25"/>
        <v>3.9200313602508821E-3</v>
      </c>
      <c r="V45" s="54">
        <f>+Nómina!$D$52</f>
        <v>400000</v>
      </c>
      <c r="W45" s="44">
        <f t="shared" si="26"/>
        <v>3.6663611365719525E-3</v>
      </c>
      <c r="X45" s="54">
        <f>+Nómina!$D$52</f>
        <v>400000</v>
      </c>
      <c r="Y45" s="44">
        <f t="shared" si="27"/>
        <v>4.3053617699820614E-3</v>
      </c>
      <c r="Z45" s="54">
        <f>+Nómina!$D$52</f>
        <v>400000</v>
      </c>
      <c r="AA45" s="44">
        <f t="shared" si="15"/>
        <v>0.11973392461197341</v>
      </c>
      <c r="AB45" s="43">
        <f t="shared" si="16"/>
        <v>4800000</v>
      </c>
      <c r="AC45" s="44">
        <f>AB46/AB$12</f>
        <v>6.9565238310317926E-2</v>
      </c>
    </row>
    <row r="46" spans="1:29" ht="11.15" customHeight="1" x14ac:dyDescent="0.25">
      <c r="A46" s="110"/>
      <c r="B46" s="69" t="s">
        <v>37</v>
      </c>
      <c r="C46" s="56"/>
      <c r="D46" s="54">
        <f>+Nómina!$D$51</f>
        <v>7140000</v>
      </c>
      <c r="E46" s="44">
        <f t="shared" si="13"/>
        <v>6.8627450980392163E-2</v>
      </c>
      <c r="F46" s="54">
        <f>+Nómina!$D$51</f>
        <v>7140000</v>
      </c>
      <c r="G46" s="94">
        <f t="shared" si="1"/>
        <v>7.1514423076923073E-2</v>
      </c>
      <c r="H46" s="54">
        <f>+Nómina!$D$51</f>
        <v>7140000</v>
      </c>
      <c r="I46" s="44">
        <f t="shared" si="12"/>
        <v>6.909231662473389E-2</v>
      </c>
      <c r="J46" s="54">
        <f>+Nómina!$D$51</f>
        <v>7140000</v>
      </c>
      <c r="K46" s="44">
        <f t="shared" si="11"/>
        <v>6.9119070667957402E-2</v>
      </c>
      <c r="L46" s="54">
        <f>+Nómina!$D$51</f>
        <v>7140000</v>
      </c>
      <c r="M46" s="44">
        <f t="shared" si="11"/>
        <v>6.6828903032572065E-2</v>
      </c>
      <c r="N46" s="54">
        <f>+Nómina!$D$51</f>
        <v>7140000</v>
      </c>
      <c r="O46" s="44">
        <f t="shared" si="2"/>
        <v>7.04558910597987E-2</v>
      </c>
      <c r="P46" s="54">
        <f>+Nómina!$D$51</f>
        <v>7140000</v>
      </c>
      <c r="Q46" s="44">
        <f t="shared" si="3"/>
        <v>6.8430132259919493E-2</v>
      </c>
      <c r="R46" s="54">
        <f>+Nómina!$D$51</f>
        <v>7140000</v>
      </c>
      <c r="S46" s="44">
        <f t="shared" si="4"/>
        <v>6.8430132259919493E-2</v>
      </c>
      <c r="T46" s="54">
        <f>+Nómina!$D$51</f>
        <v>7140000</v>
      </c>
      <c r="U46" s="44">
        <f t="shared" si="5"/>
        <v>6.9972559780478241E-2</v>
      </c>
      <c r="V46" s="54">
        <f>+Nómina!$D$51</f>
        <v>7140000</v>
      </c>
      <c r="W46" s="44">
        <f t="shared" si="6"/>
        <v>6.5444546287809352E-2</v>
      </c>
      <c r="X46" s="54">
        <f>+Nómina!$D$51</f>
        <v>7140000</v>
      </c>
      <c r="Y46" s="44">
        <f t="shared" si="7"/>
        <v>7.6850707594179793E-2</v>
      </c>
      <c r="Z46" s="54">
        <f>+Nómina!$D$51</f>
        <v>7140000</v>
      </c>
      <c r="AA46" s="44">
        <f>Z46/Z$12</f>
        <v>7.1241685144124184E-2</v>
      </c>
      <c r="AB46" s="43">
        <f t="shared" si="14"/>
        <v>85680000</v>
      </c>
      <c r="AC46" s="44">
        <f>AB47/AB$12</f>
        <v>3.8972122302699122E-3</v>
      </c>
    </row>
    <row r="47" spans="1:29" ht="11.15" customHeight="1" x14ac:dyDescent="0.25">
      <c r="A47" s="110"/>
      <c r="B47" s="69" t="s">
        <v>38</v>
      </c>
      <c r="C47" s="56"/>
      <c r="D47" s="54">
        <f>+Nómina!$D$52</f>
        <v>400000</v>
      </c>
      <c r="E47" s="44">
        <f t="shared" si="13"/>
        <v>3.8446751249519417E-3</v>
      </c>
      <c r="F47" s="54">
        <f>+Nómina!$D$52</f>
        <v>400000</v>
      </c>
      <c r="G47" s="94">
        <f t="shared" si="1"/>
        <v>4.0064102564102561E-3</v>
      </c>
      <c r="H47" s="54">
        <f>+Nómina!$D$52</f>
        <v>400000</v>
      </c>
      <c r="I47" s="94">
        <f t="shared" si="12"/>
        <v>3.8707180181923747E-3</v>
      </c>
      <c r="J47" s="54">
        <f>+Nómina!$D$52</f>
        <v>400000</v>
      </c>
      <c r="K47" s="44">
        <f t="shared" si="11"/>
        <v>3.8722168441432721E-3</v>
      </c>
      <c r="L47" s="54">
        <f>+Nómina!$D$52</f>
        <v>400000</v>
      </c>
      <c r="M47" s="44">
        <f t="shared" si="11"/>
        <v>3.7439161362785474E-3</v>
      </c>
      <c r="N47" s="54">
        <f>+Nómina!$D$52</f>
        <v>400000</v>
      </c>
      <c r="O47" s="44">
        <f t="shared" si="2"/>
        <v>3.9471087428458651E-3</v>
      </c>
      <c r="P47" s="54">
        <f>+Nómina!$D$52</f>
        <v>400000</v>
      </c>
      <c r="Q47" s="44">
        <f t="shared" si="3"/>
        <v>3.8336208548974508E-3</v>
      </c>
      <c r="R47" s="54">
        <f>+Nómina!$D$52</f>
        <v>400000</v>
      </c>
      <c r="S47" s="44">
        <f t="shared" si="4"/>
        <v>3.8336208548974508E-3</v>
      </c>
      <c r="T47" s="54">
        <f>+Nómina!$D$52</f>
        <v>400000</v>
      </c>
      <c r="U47" s="44">
        <f t="shared" si="5"/>
        <v>3.9200313602508821E-3</v>
      </c>
      <c r="V47" s="54">
        <f>+Nómina!$D$52</f>
        <v>400000</v>
      </c>
      <c r="W47" s="44">
        <f t="shared" si="6"/>
        <v>3.6663611365719525E-3</v>
      </c>
      <c r="X47" s="54">
        <f>+Nómina!$D$52</f>
        <v>400000</v>
      </c>
      <c r="Y47" s="44">
        <f t="shared" si="7"/>
        <v>4.3053617699820614E-3</v>
      </c>
      <c r="Z47" s="54">
        <f>+Nómina!$D$52</f>
        <v>400000</v>
      </c>
      <c r="AA47" s="44">
        <f>Z47/Z$12</f>
        <v>3.9911308203991139E-3</v>
      </c>
      <c r="AB47" s="43">
        <f t="shared" si="14"/>
        <v>4800000</v>
      </c>
      <c r="AC47" s="44">
        <f t="shared" ref="AC47" si="28">AB48/AB$12</f>
        <v>1.9486061151349561E-3</v>
      </c>
    </row>
    <row r="48" spans="1:29" ht="11.15" customHeight="1" x14ac:dyDescent="0.25">
      <c r="A48" s="110"/>
      <c r="B48" s="69" t="s">
        <v>135</v>
      </c>
      <c r="C48" s="56"/>
      <c r="D48" s="54">
        <f>+Nómina!$E$46</f>
        <v>200000</v>
      </c>
      <c r="E48" s="44">
        <f t="shared" si="13"/>
        <v>1.9223375624759708E-3</v>
      </c>
      <c r="F48" s="54">
        <f>+Nómina!$E$46</f>
        <v>200000</v>
      </c>
      <c r="G48" s="44">
        <f t="shared" si="1"/>
        <v>2.003205128205128E-3</v>
      </c>
      <c r="H48" s="54">
        <f>+Nómina!$E$46</f>
        <v>200000</v>
      </c>
      <c r="I48" s="44">
        <f t="shared" si="12"/>
        <v>1.9353590090961873E-3</v>
      </c>
      <c r="J48" s="54">
        <f>+Nómina!$E$46</f>
        <v>200000</v>
      </c>
      <c r="K48" s="44">
        <f t="shared" si="11"/>
        <v>1.9361084220716361E-3</v>
      </c>
      <c r="L48" s="54">
        <f>+Nómina!$E$46</f>
        <v>200000</v>
      </c>
      <c r="M48" s="44">
        <f t="shared" si="11"/>
        <v>1.8719580681392737E-3</v>
      </c>
      <c r="N48" s="54">
        <f>+Nómina!$E$46</f>
        <v>200000</v>
      </c>
      <c r="O48" s="44">
        <f t="shared" si="2"/>
        <v>1.9735543714229325E-3</v>
      </c>
      <c r="P48" s="54">
        <f>+Nómina!$E$46</f>
        <v>200000</v>
      </c>
      <c r="Q48" s="44">
        <f t="shared" si="3"/>
        <v>1.9168104274487254E-3</v>
      </c>
      <c r="R48" s="54">
        <f>+Nómina!$E$46</f>
        <v>200000</v>
      </c>
      <c r="S48" s="44">
        <f t="shared" si="4"/>
        <v>1.9168104274487254E-3</v>
      </c>
      <c r="T48" s="54">
        <f>+Nómina!$E$46</f>
        <v>200000</v>
      </c>
      <c r="U48" s="44">
        <f t="shared" si="5"/>
        <v>1.9600156801254411E-3</v>
      </c>
      <c r="V48" s="54">
        <f>+Nómina!$E$46</f>
        <v>200000</v>
      </c>
      <c r="W48" s="44">
        <f t="shared" si="6"/>
        <v>1.8331805682859762E-3</v>
      </c>
      <c r="X48" s="54">
        <f>+Nómina!$E$46</f>
        <v>200000</v>
      </c>
      <c r="Y48" s="44">
        <f t="shared" si="7"/>
        <v>2.1526808849910307E-3</v>
      </c>
      <c r="Z48" s="54">
        <f>+Nómina!$E$46</f>
        <v>200000</v>
      </c>
      <c r="AA48" s="44">
        <f>Z48/Z$12</f>
        <v>1.995565410199557E-3</v>
      </c>
      <c r="AB48" s="43">
        <f t="shared" ref="AB48" si="29">+D48+F48+H48+J48+L48+P48+R48+T48+V48+X48+Z48+N48</f>
        <v>2400000</v>
      </c>
      <c r="AC48" s="90">
        <f>AB49/AB$12</f>
        <v>9.7430305756747802E-3</v>
      </c>
    </row>
    <row r="49" spans="1:29" ht="11.15" customHeight="1" x14ac:dyDescent="0.25">
      <c r="A49" s="110"/>
      <c r="B49" s="69" t="s">
        <v>39</v>
      </c>
      <c r="C49" s="56"/>
      <c r="D49" s="54">
        <f>+Nómina!$D$53</f>
        <v>1000000</v>
      </c>
      <c r="E49" s="44">
        <f t="shared" si="13"/>
        <v>9.6116878123798533E-3</v>
      </c>
      <c r="F49" s="54">
        <f>+Nómina!$D$53</f>
        <v>1000000</v>
      </c>
      <c r="G49" s="93">
        <f t="shared" si="1"/>
        <v>1.0016025641025642E-2</v>
      </c>
      <c r="H49" s="54">
        <f>+Nómina!$D$53</f>
        <v>1000000</v>
      </c>
      <c r="I49" s="93">
        <f t="shared" si="12"/>
        <v>9.6767950454809369E-3</v>
      </c>
      <c r="J49" s="54">
        <f>+Nómina!$D$53</f>
        <v>1000000</v>
      </c>
      <c r="K49" s="90">
        <f t="shared" si="11"/>
        <v>9.6805421103581795E-3</v>
      </c>
      <c r="L49" s="54">
        <f>+Nómina!$D$53</f>
        <v>1000000</v>
      </c>
      <c r="M49" s="90">
        <f t="shared" si="11"/>
        <v>9.3597903406963685E-3</v>
      </c>
      <c r="N49" s="54">
        <f>+Nómina!$D$53</f>
        <v>1000000</v>
      </c>
      <c r="O49" s="90">
        <f t="shared" si="2"/>
        <v>9.8677718571146631E-3</v>
      </c>
      <c r="P49" s="54">
        <f>+Nómina!$D$53</f>
        <v>1000000</v>
      </c>
      <c r="Q49" s="90">
        <f t="shared" si="3"/>
        <v>9.5840521372436271E-3</v>
      </c>
      <c r="R49" s="54">
        <f>+Nómina!$D$53</f>
        <v>1000000</v>
      </c>
      <c r="S49" s="90">
        <f t="shared" si="4"/>
        <v>9.5840521372436271E-3</v>
      </c>
      <c r="T49" s="54">
        <f>+Nómina!$D$53</f>
        <v>1000000</v>
      </c>
      <c r="U49" s="90">
        <f t="shared" si="5"/>
        <v>9.8000784006272053E-3</v>
      </c>
      <c r="V49" s="54">
        <f>+Nómina!$D$53</f>
        <v>1000000</v>
      </c>
      <c r="W49" s="90">
        <f t="shared" si="6"/>
        <v>9.1659028414298807E-3</v>
      </c>
      <c r="X49" s="54">
        <f>+Nómina!$D$53</f>
        <v>1000000</v>
      </c>
      <c r="Y49" s="90">
        <f t="shared" si="7"/>
        <v>1.0763404424955153E-2</v>
      </c>
      <c r="Z49" s="54">
        <f>+Nómina!$D$53</f>
        <v>1000000</v>
      </c>
      <c r="AA49" s="90">
        <f>Z49/Z$12</f>
        <v>9.977827050997784E-3</v>
      </c>
      <c r="AB49" s="43">
        <f t="shared" si="14"/>
        <v>12000000</v>
      </c>
      <c r="AC49" s="90">
        <f>AB50/AB$12</f>
        <v>7.7944244605398245E-3</v>
      </c>
    </row>
    <row r="50" spans="1:29" ht="11.15" customHeight="1" x14ac:dyDescent="0.25">
      <c r="A50" s="110"/>
      <c r="B50" s="69" t="s">
        <v>40</v>
      </c>
      <c r="C50" s="56"/>
      <c r="D50" s="54">
        <f>+Nómina!$D$54</f>
        <v>800000</v>
      </c>
      <c r="E50" s="44">
        <f t="shared" si="13"/>
        <v>7.6893502499038834E-3</v>
      </c>
      <c r="F50" s="54">
        <f>+Nómina!$D$54</f>
        <v>800000</v>
      </c>
      <c r="G50" s="93">
        <f t="shared" si="1"/>
        <v>8.0128205128205121E-3</v>
      </c>
      <c r="H50" s="54">
        <f>+Nómina!$D$54</f>
        <v>800000</v>
      </c>
      <c r="I50" s="93">
        <f t="shared" si="12"/>
        <v>7.7414360363847494E-3</v>
      </c>
      <c r="J50" s="54">
        <f>+Nómina!$D$54</f>
        <v>800000</v>
      </c>
      <c r="K50" s="90">
        <f t="shared" si="11"/>
        <v>7.7444336882865443E-3</v>
      </c>
      <c r="L50" s="54">
        <f>+Nómina!$D$54</f>
        <v>800000</v>
      </c>
      <c r="M50" s="90">
        <f t="shared" si="11"/>
        <v>7.4878322725570948E-3</v>
      </c>
      <c r="N50" s="54">
        <f>+Nómina!$D$54</f>
        <v>800000</v>
      </c>
      <c r="O50" s="90">
        <f t="shared" si="2"/>
        <v>7.8942174856917301E-3</v>
      </c>
      <c r="P50" s="54">
        <f>+Nómina!$D$54</f>
        <v>800000</v>
      </c>
      <c r="Q50" s="90">
        <f t="shared" si="3"/>
        <v>7.6672417097949017E-3</v>
      </c>
      <c r="R50" s="54">
        <f>+Nómina!$D$54</f>
        <v>800000</v>
      </c>
      <c r="S50" s="90">
        <f t="shared" si="4"/>
        <v>7.6672417097949017E-3</v>
      </c>
      <c r="T50" s="54">
        <f>+Nómina!$D$54</f>
        <v>800000</v>
      </c>
      <c r="U50" s="90">
        <f t="shared" si="5"/>
        <v>7.8400627205017642E-3</v>
      </c>
      <c r="V50" s="54">
        <f>+Nómina!$D$54</f>
        <v>800000</v>
      </c>
      <c r="W50" s="90">
        <f t="shared" si="6"/>
        <v>7.3327222731439049E-3</v>
      </c>
      <c r="X50" s="54">
        <f>+Nómina!$D$54</f>
        <v>800000</v>
      </c>
      <c r="Y50" s="90">
        <f t="shared" si="7"/>
        <v>8.6107235399641227E-3</v>
      </c>
      <c r="Z50" s="54">
        <f>+Nómina!$D$54</f>
        <v>800000</v>
      </c>
      <c r="AA50" s="90">
        <f>Z50/Z$12</f>
        <v>7.9822616407982279E-3</v>
      </c>
      <c r="AB50" s="43">
        <f t="shared" si="14"/>
        <v>9600000</v>
      </c>
      <c r="AC50" s="90">
        <f>AB51/AB$12</f>
        <v>2.922909172702434E-3</v>
      </c>
    </row>
    <row r="51" spans="1:29" ht="11.15" hidden="1" customHeight="1" x14ac:dyDescent="0.25">
      <c r="A51" s="110"/>
      <c r="B51" s="69" t="s">
        <v>41</v>
      </c>
      <c r="C51" s="56"/>
      <c r="D51" s="54">
        <f>+Nómina!$D$55</f>
        <v>300000</v>
      </c>
      <c r="E51" s="44">
        <f t="shared" si="13"/>
        <v>2.8835063437139563E-3</v>
      </c>
      <c r="F51" s="54">
        <f>+Nómina!$D$55</f>
        <v>300000</v>
      </c>
      <c r="G51" s="93">
        <f t="shared" si="1"/>
        <v>3.0048076923076925E-3</v>
      </c>
      <c r="H51" s="54">
        <f>+Nómina!$D$55</f>
        <v>300000</v>
      </c>
      <c r="I51" s="93">
        <f t="shared" si="12"/>
        <v>2.9030385136442809E-3</v>
      </c>
      <c r="J51" s="54">
        <f>+Nómina!$D$55</f>
        <v>300000</v>
      </c>
      <c r="K51" s="90">
        <f t="shared" si="11"/>
        <v>2.9041626331074541E-3</v>
      </c>
      <c r="L51" s="54">
        <f>+Nómina!$D$55</f>
        <v>300000</v>
      </c>
      <c r="M51" s="90">
        <f t="shared" si="11"/>
        <v>2.8079371022089105E-3</v>
      </c>
      <c r="N51" s="54">
        <f>+Nómina!$D$55</f>
        <v>300000</v>
      </c>
      <c r="O51" s="90">
        <f t="shared" si="2"/>
        <v>2.960331557134399E-3</v>
      </c>
      <c r="P51" s="54">
        <f>+Nómina!$D$55</f>
        <v>300000</v>
      </c>
      <c r="Q51" s="90">
        <f t="shared" si="3"/>
        <v>2.8752156411730881E-3</v>
      </c>
      <c r="R51" s="54">
        <f>+Nómina!$D$55</f>
        <v>300000</v>
      </c>
      <c r="S51" s="90">
        <f t="shared" si="4"/>
        <v>2.8752156411730881E-3</v>
      </c>
      <c r="T51" s="54">
        <f>+Nómina!$D$55</f>
        <v>300000</v>
      </c>
      <c r="U51" s="90">
        <f t="shared" si="5"/>
        <v>2.9400235201881616E-3</v>
      </c>
      <c r="V51" s="54">
        <f>+Nómina!$D$55</f>
        <v>300000</v>
      </c>
      <c r="W51" s="90">
        <f t="shared" si="6"/>
        <v>2.7497708524289641E-3</v>
      </c>
      <c r="X51" s="54">
        <f>+Nómina!$D$55</f>
        <v>300000</v>
      </c>
      <c r="Y51" s="90">
        <f t="shared" si="7"/>
        <v>3.229021327486546E-3</v>
      </c>
      <c r="Z51" s="54">
        <f>+Nómina!$D$55</f>
        <v>300000</v>
      </c>
      <c r="AA51" s="90">
        <f>Z51/Z$12</f>
        <v>2.993348115299335E-3</v>
      </c>
      <c r="AB51" s="43">
        <f t="shared" si="14"/>
        <v>3600000</v>
      </c>
      <c r="AC51" s="44">
        <f>AB52/AB$12</f>
        <v>0</v>
      </c>
    </row>
    <row r="52" spans="1:29" ht="11.15" customHeight="1" x14ac:dyDescent="0.25">
      <c r="A52" s="110"/>
      <c r="B52" s="69" t="s">
        <v>42</v>
      </c>
      <c r="C52" s="56"/>
      <c r="D52" s="54"/>
      <c r="E52" s="44">
        <f t="shared" si="13"/>
        <v>0</v>
      </c>
      <c r="F52" s="54"/>
      <c r="G52" s="94">
        <f t="shared" si="1"/>
        <v>0</v>
      </c>
      <c r="H52" s="54"/>
      <c r="I52" s="94">
        <f t="shared" si="12"/>
        <v>0</v>
      </c>
      <c r="J52" s="54"/>
      <c r="K52" s="44">
        <f t="shared" si="11"/>
        <v>0</v>
      </c>
      <c r="L52" s="54"/>
      <c r="M52" s="44">
        <f t="shared" si="11"/>
        <v>0</v>
      </c>
      <c r="N52" s="54"/>
      <c r="O52" s="44">
        <f t="shared" si="2"/>
        <v>0</v>
      </c>
      <c r="P52" s="54"/>
      <c r="Q52" s="44">
        <f t="shared" si="3"/>
        <v>0</v>
      </c>
      <c r="R52" s="54"/>
      <c r="S52" s="44">
        <f t="shared" si="4"/>
        <v>0</v>
      </c>
      <c r="T52" s="54"/>
      <c r="U52" s="44">
        <f t="shared" si="5"/>
        <v>0</v>
      </c>
      <c r="V52" s="54"/>
      <c r="W52" s="44">
        <f t="shared" si="6"/>
        <v>0</v>
      </c>
      <c r="X52" s="54"/>
      <c r="Y52" s="44">
        <f t="shared" si="7"/>
        <v>0</v>
      </c>
      <c r="Z52" s="54"/>
      <c r="AA52" s="44">
        <f>Z52/Z$12</f>
        <v>0</v>
      </c>
      <c r="AB52" s="43">
        <f t="shared" si="14"/>
        <v>0</v>
      </c>
      <c r="AC52" s="90">
        <f>AB53/AB$12</f>
        <v>7.7944244605398245E-3</v>
      </c>
    </row>
    <row r="53" spans="1:29" ht="11.15" customHeight="1" x14ac:dyDescent="0.25">
      <c r="A53" s="110"/>
      <c r="B53" s="69" t="s">
        <v>43</v>
      </c>
      <c r="C53" s="56"/>
      <c r="D53" s="54">
        <f>+Nómina!$D$56</f>
        <v>800000</v>
      </c>
      <c r="E53" s="44">
        <f t="shared" si="13"/>
        <v>7.6893502499038834E-3</v>
      </c>
      <c r="F53" s="54">
        <f>+Nómina!$D$56</f>
        <v>800000</v>
      </c>
      <c r="G53" s="93">
        <f t="shared" si="1"/>
        <v>8.0128205128205121E-3</v>
      </c>
      <c r="H53" s="54">
        <f>+Nómina!$D$56</f>
        <v>800000</v>
      </c>
      <c r="I53" s="93">
        <f t="shared" si="12"/>
        <v>7.7414360363847494E-3</v>
      </c>
      <c r="J53" s="54">
        <f>+Nómina!$D$56</f>
        <v>800000</v>
      </c>
      <c r="K53" s="90">
        <f t="shared" si="11"/>
        <v>7.7444336882865443E-3</v>
      </c>
      <c r="L53" s="54">
        <f>+Nómina!$D$56</f>
        <v>800000</v>
      </c>
      <c r="M53" s="90">
        <f t="shared" si="11"/>
        <v>7.4878322725570948E-3</v>
      </c>
      <c r="N53" s="54">
        <f>+Nómina!$D$56</f>
        <v>800000</v>
      </c>
      <c r="O53" s="90">
        <f t="shared" si="2"/>
        <v>7.8942174856917301E-3</v>
      </c>
      <c r="P53" s="54">
        <f>+Nómina!$D$56</f>
        <v>800000</v>
      </c>
      <c r="Q53" s="90">
        <f t="shared" si="3"/>
        <v>7.6672417097949017E-3</v>
      </c>
      <c r="R53" s="54">
        <f>+Nómina!$D$56</f>
        <v>800000</v>
      </c>
      <c r="S53" s="90">
        <f t="shared" si="4"/>
        <v>7.6672417097949017E-3</v>
      </c>
      <c r="T53" s="54">
        <f>+Nómina!$D$56</f>
        <v>800000</v>
      </c>
      <c r="U53" s="90">
        <f t="shared" si="5"/>
        <v>7.8400627205017642E-3</v>
      </c>
      <c r="V53" s="54">
        <f>+Nómina!$D$56</f>
        <v>800000</v>
      </c>
      <c r="W53" s="90">
        <f t="shared" si="6"/>
        <v>7.3327222731439049E-3</v>
      </c>
      <c r="X53" s="54">
        <f>+Nómina!$D$56</f>
        <v>800000</v>
      </c>
      <c r="Y53" s="90">
        <f t="shared" si="7"/>
        <v>8.6107235399641227E-3</v>
      </c>
      <c r="Z53" s="54">
        <f>+Nómina!$D$56</f>
        <v>800000</v>
      </c>
      <c r="AA53" s="90">
        <f>Z53/Z$12</f>
        <v>7.9822616407982279E-3</v>
      </c>
      <c r="AB53" s="43">
        <f t="shared" si="14"/>
        <v>9600000</v>
      </c>
      <c r="AC53" s="44">
        <f>AB54/AB$12</f>
        <v>6.8201214029723458E-3</v>
      </c>
    </row>
    <row r="54" spans="1:29" ht="11.15" customHeight="1" x14ac:dyDescent="0.25">
      <c r="A54" s="110"/>
      <c r="B54" s="69" t="s">
        <v>44</v>
      </c>
      <c r="C54" s="56"/>
      <c r="D54" s="54">
        <f>+Nómina!$D$57</f>
        <v>700000</v>
      </c>
      <c r="E54" s="44">
        <f t="shared" si="13"/>
        <v>6.7281814686658975E-3</v>
      </c>
      <c r="F54" s="54">
        <f>+Nómina!$D$57</f>
        <v>700000</v>
      </c>
      <c r="G54" s="94">
        <f t="shared" si="1"/>
        <v>7.011217948717949E-3</v>
      </c>
      <c r="H54" s="54">
        <f>+Nómina!$D$57</f>
        <v>700000</v>
      </c>
      <c r="I54" s="94">
        <f t="shared" si="12"/>
        <v>6.773756531836656E-3</v>
      </c>
      <c r="J54" s="54">
        <f>+Nómina!$D$57</f>
        <v>700000</v>
      </c>
      <c r="K54" s="44">
        <f t="shared" si="11"/>
        <v>6.7763794772507258E-3</v>
      </c>
      <c r="L54" s="54">
        <f>+Nómina!$D$57</f>
        <v>700000</v>
      </c>
      <c r="M54" s="44">
        <f t="shared" si="11"/>
        <v>6.5518532384874579E-3</v>
      </c>
      <c r="N54" s="54">
        <f>+Nómina!$D$57</f>
        <v>700000</v>
      </c>
      <c r="O54" s="44">
        <f t="shared" si="2"/>
        <v>6.9074402999802645E-3</v>
      </c>
      <c r="P54" s="54">
        <f>+Nómina!$D$57</f>
        <v>700000</v>
      </c>
      <c r="Q54" s="44">
        <f t="shared" si="3"/>
        <v>6.708836496070539E-3</v>
      </c>
      <c r="R54" s="54">
        <f>+Nómina!$D$57</f>
        <v>700000</v>
      </c>
      <c r="S54" s="44">
        <f t="shared" si="4"/>
        <v>6.708836496070539E-3</v>
      </c>
      <c r="T54" s="54">
        <f>+Nómina!$D$57</f>
        <v>700000</v>
      </c>
      <c r="U54" s="44">
        <f t="shared" si="5"/>
        <v>6.8600548804390437E-3</v>
      </c>
      <c r="V54" s="54">
        <f>+Nómina!$D$57</f>
        <v>700000</v>
      </c>
      <c r="W54" s="44">
        <f t="shared" si="6"/>
        <v>6.416131989000917E-3</v>
      </c>
      <c r="X54" s="54">
        <f>+Nómina!$D$57</f>
        <v>700000</v>
      </c>
      <c r="Y54" s="44">
        <f t="shared" si="7"/>
        <v>7.5343830974686074E-3</v>
      </c>
      <c r="Z54" s="54">
        <f>+Nómina!$D$57</f>
        <v>700000</v>
      </c>
      <c r="AA54" s="44">
        <f>Z54/Z$12</f>
        <v>6.984478935698449E-3</v>
      </c>
      <c r="AB54" s="43">
        <f t="shared" si="14"/>
        <v>8400000</v>
      </c>
      <c r="AC54" s="44">
        <f>AB55/AB$12</f>
        <v>7.3072729317560856E-3</v>
      </c>
    </row>
    <row r="55" spans="1:29" ht="11.15" customHeight="1" thickBot="1" x14ac:dyDescent="0.3">
      <c r="A55" s="111"/>
      <c r="B55" s="69" t="s">
        <v>45</v>
      </c>
      <c r="C55" s="56"/>
      <c r="D55" s="54">
        <f>+Nómina!$D$58</f>
        <v>750000</v>
      </c>
      <c r="E55" s="44">
        <f t="shared" si="13"/>
        <v>7.2087658592848904E-3</v>
      </c>
      <c r="F55" s="54">
        <f>+Nómina!$D$58</f>
        <v>750000</v>
      </c>
      <c r="G55" s="94">
        <f t="shared" si="1"/>
        <v>7.512019230769231E-3</v>
      </c>
      <c r="H55" s="54">
        <f>+Nómina!$D$58</f>
        <v>750000</v>
      </c>
      <c r="I55" s="94">
        <f t="shared" si="12"/>
        <v>7.2575962841107027E-3</v>
      </c>
      <c r="J55" s="54">
        <f>+Nómina!$D$58</f>
        <v>750000</v>
      </c>
      <c r="K55" s="44">
        <f t="shared" si="11"/>
        <v>7.2604065827686351E-3</v>
      </c>
      <c r="L55" s="54">
        <f>+Nómina!$D$58</f>
        <v>750000</v>
      </c>
      <c r="M55" s="44">
        <f t="shared" si="11"/>
        <v>7.0198427555222759E-3</v>
      </c>
      <c r="N55" s="54">
        <f>+Nómina!$D$58</f>
        <v>750000</v>
      </c>
      <c r="O55" s="44">
        <f t="shared" si="2"/>
        <v>7.4008288928359978E-3</v>
      </c>
      <c r="P55" s="54">
        <f>+Nómina!$D$58</f>
        <v>750000</v>
      </c>
      <c r="Q55" s="44">
        <f t="shared" si="3"/>
        <v>7.1880391029327199E-3</v>
      </c>
      <c r="R55" s="54">
        <f>+Nómina!$D$58</f>
        <v>750000</v>
      </c>
      <c r="S55" s="44">
        <f t="shared" si="4"/>
        <v>7.1880391029327199E-3</v>
      </c>
      <c r="T55" s="54">
        <f>+Nómina!$D$58</f>
        <v>750000</v>
      </c>
      <c r="U55" s="44">
        <f t="shared" si="5"/>
        <v>7.350058800470404E-3</v>
      </c>
      <c r="V55" s="54">
        <f>+Nómina!$D$58</f>
        <v>750000</v>
      </c>
      <c r="W55" s="44">
        <f t="shared" si="6"/>
        <v>6.8744271310724105E-3</v>
      </c>
      <c r="X55" s="54">
        <f>+Nómina!$D$58</f>
        <v>750000</v>
      </c>
      <c r="Y55" s="44">
        <f t="shared" si="7"/>
        <v>8.0725533187163655E-3</v>
      </c>
      <c r="Z55" s="54">
        <f>+Nómina!$D$58</f>
        <v>750000</v>
      </c>
      <c r="AA55" s="44">
        <f>Z55/Z$12</f>
        <v>7.483370288248338E-3</v>
      </c>
      <c r="AB55" s="43">
        <f t="shared" si="14"/>
        <v>9000000</v>
      </c>
      <c r="AC55" s="45">
        <f>AB56/AB$12</f>
        <v>5.8458183454048679E-3</v>
      </c>
    </row>
    <row r="56" spans="1:29" ht="13.5" thickTop="1" thickBot="1" x14ac:dyDescent="0.3">
      <c r="B56" s="71" t="s">
        <v>46</v>
      </c>
      <c r="C56" s="58"/>
      <c r="D56" s="55">
        <f>+Nómina!$D$59</f>
        <v>600000</v>
      </c>
      <c r="E56" s="44">
        <f t="shared" si="13"/>
        <v>5.7670126874279125E-3</v>
      </c>
      <c r="F56" s="55">
        <f>+Nómina!$D$59</f>
        <v>600000</v>
      </c>
      <c r="G56" s="45">
        <f t="shared" si="1"/>
        <v>6.0096153846153849E-3</v>
      </c>
      <c r="H56" s="55">
        <f>+Nómina!$D$59</f>
        <v>600000</v>
      </c>
      <c r="I56" s="95">
        <f t="shared" si="12"/>
        <v>5.8060770272885618E-3</v>
      </c>
      <c r="J56" s="55">
        <f>+Nómina!$D$59</f>
        <v>600000</v>
      </c>
      <c r="K56" s="45">
        <f t="shared" si="11"/>
        <v>5.8083252662149082E-3</v>
      </c>
      <c r="L56" s="55">
        <f>+Nómina!$D$59</f>
        <v>600000</v>
      </c>
      <c r="M56" s="45">
        <f t="shared" si="11"/>
        <v>5.6158742044178211E-3</v>
      </c>
      <c r="N56" s="55">
        <f>+Nómina!$D$59</f>
        <v>600000</v>
      </c>
      <c r="O56" s="45">
        <f t="shared" si="2"/>
        <v>5.920663114268798E-3</v>
      </c>
      <c r="P56" s="55">
        <f>+Nómina!$D$59</f>
        <v>600000</v>
      </c>
      <c r="Q56" s="45">
        <f t="shared" si="3"/>
        <v>5.7504312823461762E-3</v>
      </c>
      <c r="R56" s="55">
        <f>+Nómina!$D$59</f>
        <v>600000</v>
      </c>
      <c r="S56" s="45">
        <f t="shared" si="4"/>
        <v>5.7504312823461762E-3</v>
      </c>
      <c r="T56" s="55">
        <f>+Nómina!$D$59</f>
        <v>600000</v>
      </c>
      <c r="U56" s="45">
        <f t="shared" si="5"/>
        <v>5.8800470403763232E-3</v>
      </c>
      <c r="V56" s="55">
        <f>+Nómina!$D$59</f>
        <v>600000</v>
      </c>
      <c r="W56" s="45">
        <f t="shared" si="6"/>
        <v>5.4995417048579283E-3</v>
      </c>
      <c r="X56" s="55">
        <f>+Nómina!$D$59</f>
        <v>600000</v>
      </c>
      <c r="Y56" s="45">
        <f t="shared" si="7"/>
        <v>6.458042654973092E-3</v>
      </c>
      <c r="Z56" s="55">
        <f>+Nómina!$D$59</f>
        <v>600000</v>
      </c>
      <c r="AA56" s="45">
        <f>Z56/Z$12</f>
        <v>5.9866962305986701E-3</v>
      </c>
      <c r="AB56" s="43">
        <f t="shared" si="14"/>
        <v>7200000</v>
      </c>
      <c r="AC56" s="96">
        <f>AB57/AB$12</f>
        <v>1.2400153898279871E-4</v>
      </c>
    </row>
    <row r="57" spans="1:29" ht="13.5" thickTop="1" thickBot="1" x14ac:dyDescent="0.3">
      <c r="B57" s="46" t="s">
        <v>47</v>
      </c>
      <c r="C57" s="47"/>
      <c r="D57" s="50">
        <f>D22-D24</f>
        <v>766587.54323200881</v>
      </c>
      <c r="E57" s="100">
        <f>D57/D12</f>
        <v>7.3682001464053133E-3</v>
      </c>
      <c r="F57" s="97">
        <f>F22-F24</f>
        <v>-1490912.4567679912</v>
      </c>
      <c r="G57" s="98">
        <f t="shared" si="1"/>
        <v>-1.4933017395512732E-2</v>
      </c>
      <c r="H57" s="97">
        <f>H22-H24</f>
        <v>390337.54323200881</v>
      </c>
      <c r="I57" s="99">
        <f t="shared" si="12"/>
        <v>3.7772164044127038E-3</v>
      </c>
      <c r="J57" s="97">
        <f>J22-J24</f>
        <v>368837.54323200881</v>
      </c>
      <c r="K57" s="96">
        <f t="shared" si="11"/>
        <v>3.5705473691385169E-3</v>
      </c>
      <c r="L57" s="97">
        <f>L22-L24</f>
        <v>2271587.5432320088</v>
      </c>
      <c r="M57" s="96">
        <f t="shared" si="11"/>
        <v>2.1261583145189149E-2</v>
      </c>
      <c r="N57" s="97">
        <f>N22-N24</f>
        <v>-684662.45676799119</v>
      </c>
      <c r="O57" s="96">
        <f t="shared" si="2"/>
        <v>-6.7560929225181686E-3</v>
      </c>
      <c r="P57" s="97">
        <f>P22-P24</f>
        <v>927837.54323200881</v>
      </c>
      <c r="Q57" s="96">
        <f t="shared" si="3"/>
        <v>8.8924433892276101E-3</v>
      </c>
      <c r="R57" s="97">
        <f>R22-R24</f>
        <v>927837.54323200881</v>
      </c>
      <c r="S57" s="96">
        <f t="shared" si="4"/>
        <v>8.8924433892276101E-3</v>
      </c>
      <c r="T57" s="97">
        <f>T22-T24</f>
        <v>-308412.45676799119</v>
      </c>
      <c r="U57" s="96">
        <f t="shared" si="5"/>
        <v>-3.022466256056362E-3</v>
      </c>
      <c r="V57" s="97">
        <f>V22-V24</f>
        <v>3486337.5432320088</v>
      </c>
      <c r="W57" s="96">
        <f t="shared" si="6"/>
        <v>3.1955431193693942E-2</v>
      </c>
      <c r="X57" s="97">
        <f>X22-X24</f>
        <v>-5217180.975286521</v>
      </c>
      <c r="Y57" s="96">
        <f t="shared" si="7"/>
        <v>-5.6154628795190779E-2</v>
      </c>
      <c r="Z57" s="97">
        <f>Z22-Z24</f>
        <v>-1285468.0123235583</v>
      </c>
      <c r="AA57" s="96">
        <f>Z57/Z$12</f>
        <v>-1.2826177506554353E-2</v>
      </c>
      <c r="AB57" s="97">
        <f>SUM(D57:Z57)</f>
        <v>152726.44956166809</v>
      </c>
    </row>
    <row r="58" spans="1:29" ht="13" thickTop="1" x14ac:dyDescent="0.25">
      <c r="B58" s="7"/>
      <c r="C58" s="7"/>
      <c r="D58" s="8"/>
      <c r="E58" s="8"/>
      <c r="F58" s="8"/>
      <c r="G58" s="11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 spans="1:29" x14ac:dyDescent="0.25">
      <c r="B59" s="9"/>
      <c r="C59" s="9"/>
      <c r="D59" s="8"/>
      <c r="E59" s="8"/>
      <c r="F59" s="8"/>
      <c r="G59" s="11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 spans="1:29" x14ac:dyDescent="0.25">
      <c r="B60" s="7"/>
      <c r="C60" s="7"/>
      <c r="D60" s="8"/>
      <c r="E60" s="8"/>
      <c r="F60" s="8"/>
      <c r="G60" s="11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7"/>
    </row>
    <row r="61" spans="1:29" x14ac:dyDescent="0.25">
      <c r="B61" s="7"/>
      <c r="C61" s="7"/>
      <c r="D61" s="8"/>
      <c r="E61" s="8"/>
      <c r="F61" s="8"/>
      <c r="G61" s="11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7"/>
    </row>
    <row r="62" spans="1:29" x14ac:dyDescent="0.25">
      <c r="B62" s="7"/>
      <c r="C62" s="7"/>
      <c r="D62" s="8"/>
      <c r="E62" s="8"/>
      <c r="F62" s="8"/>
      <c r="G62" s="11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7"/>
    </row>
    <row r="63" spans="1:29" x14ac:dyDescent="0.25">
      <c r="B63" s="7"/>
      <c r="C63" s="7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7"/>
    </row>
    <row r="64" spans="1:29" x14ac:dyDescent="0.25">
      <c r="B64" s="9"/>
      <c r="C64" s="9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7"/>
    </row>
  </sheetData>
  <mergeCells count="3">
    <mergeCell ref="A40:A55"/>
    <mergeCell ref="B2:AB2"/>
    <mergeCell ref="B1:AB1"/>
  </mergeCells>
  <phoneticPr fontId="2" type="noConversion"/>
  <pageMargins left="0.75" right="0.75" top="1" bottom="1" header="0" footer="0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64"/>
  <sheetViews>
    <sheetView showGridLines="0" zoomScaleNormal="100" workbookViewId="0">
      <selection activeCell="B1" sqref="B1:AB1"/>
    </sheetView>
  </sheetViews>
  <sheetFormatPr baseColWidth="10" defaultRowHeight="12.5" x14ac:dyDescent="0.25"/>
  <cols>
    <col min="1" max="1" width="3" customWidth="1"/>
    <col min="2" max="2" width="22.1796875" bestFit="1" customWidth="1"/>
    <col min="3" max="3" width="5.81640625" bestFit="1" customWidth="1"/>
    <col min="4" max="4" width="10.1796875" bestFit="1" customWidth="1"/>
    <col min="5" max="5" width="6.26953125" hidden="1" customWidth="1"/>
    <col min="6" max="6" width="10" bestFit="1" customWidth="1"/>
    <col min="7" max="7" width="6.26953125" hidden="1" customWidth="1"/>
    <col min="8" max="8" width="10" bestFit="1" customWidth="1"/>
    <col min="9" max="9" width="6.26953125" hidden="1" customWidth="1"/>
    <col min="10" max="10" width="10.26953125" bestFit="1" customWidth="1"/>
    <col min="11" max="11" width="6.26953125" hidden="1" customWidth="1"/>
    <col min="12" max="12" width="10.453125" bestFit="1" customWidth="1"/>
    <col min="13" max="13" width="6.26953125" hidden="1" customWidth="1"/>
    <col min="14" max="14" width="10.26953125" bestFit="1" customWidth="1"/>
    <col min="15" max="15" width="6.26953125" hidden="1" customWidth="1"/>
    <col min="16" max="16" width="10.1796875" bestFit="1" customWidth="1"/>
    <col min="17" max="17" width="6.26953125" hidden="1" customWidth="1"/>
    <col min="18" max="18" width="10.1796875" bestFit="1" customWidth="1"/>
    <col min="19" max="19" width="6.26953125" hidden="1" customWidth="1"/>
    <col min="20" max="20" width="10" bestFit="1" customWidth="1"/>
    <col min="21" max="21" width="6.26953125" hidden="1" customWidth="1"/>
    <col min="22" max="22" width="10.26953125" bestFit="1" customWidth="1"/>
    <col min="23" max="23" width="6.26953125" hidden="1" customWidth="1"/>
    <col min="24" max="24" width="10.1796875" bestFit="1" customWidth="1"/>
    <col min="25" max="25" width="6.26953125" hidden="1" customWidth="1"/>
    <col min="26" max="26" width="10" bestFit="1" customWidth="1"/>
    <col min="27" max="27" width="6" hidden="1" customWidth="1"/>
    <col min="28" max="28" width="11.453125" bestFit="1" customWidth="1"/>
  </cols>
  <sheetData>
    <row r="1" spans="2:28" ht="15" x14ac:dyDescent="0.25">
      <c r="B1" s="106" t="str">
        <f>+Nómina!C1</f>
        <v>Restaurante de Prueba</v>
      </c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</row>
    <row r="2" spans="2:28" ht="15" x14ac:dyDescent="0.25">
      <c r="B2" s="106" t="str">
        <f>+'Presupuesto 0'!B2:AB2</f>
        <v xml:space="preserve">PRESUPUESTO ESTIMADO </v>
      </c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</row>
    <row r="3" spans="2:28" ht="15" x14ac:dyDescent="0.25">
      <c r="B3" s="72" t="s">
        <v>68</v>
      </c>
      <c r="C3" s="72"/>
      <c r="D3" s="73">
        <v>0.1</v>
      </c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</row>
    <row r="4" spans="2:28" x14ac:dyDescent="0.25">
      <c r="B4" s="59" t="s">
        <v>0</v>
      </c>
      <c r="C4" s="63"/>
      <c r="D4" s="29" t="s">
        <v>48</v>
      </c>
      <c r="E4" s="2" t="s">
        <v>1</v>
      </c>
      <c r="F4" s="29" t="s">
        <v>49</v>
      </c>
      <c r="G4" s="2" t="s">
        <v>1</v>
      </c>
      <c r="H4" s="29" t="s">
        <v>50</v>
      </c>
      <c r="I4" s="2" t="s">
        <v>1</v>
      </c>
      <c r="J4" s="29" t="s">
        <v>51</v>
      </c>
      <c r="K4" s="2" t="s">
        <v>1</v>
      </c>
      <c r="L4" s="29" t="s">
        <v>52</v>
      </c>
      <c r="M4" s="2" t="s">
        <v>1</v>
      </c>
      <c r="N4" s="29" t="s">
        <v>53</v>
      </c>
      <c r="O4" s="2" t="s">
        <v>1</v>
      </c>
      <c r="P4" s="29" t="s">
        <v>54</v>
      </c>
      <c r="Q4" s="2" t="s">
        <v>1</v>
      </c>
      <c r="R4" s="29" t="s">
        <v>55</v>
      </c>
      <c r="S4" s="2" t="s">
        <v>1</v>
      </c>
      <c r="T4" s="29" t="s">
        <v>56</v>
      </c>
      <c r="U4" s="2" t="s">
        <v>1</v>
      </c>
      <c r="V4" s="29" t="s">
        <v>57</v>
      </c>
      <c r="W4" s="2" t="s">
        <v>1</v>
      </c>
      <c r="X4" s="29" t="s">
        <v>58</v>
      </c>
      <c r="Y4" s="2" t="s">
        <v>1</v>
      </c>
      <c r="Z4" s="29" t="s">
        <v>59</v>
      </c>
      <c r="AA4" s="2" t="s">
        <v>1</v>
      </c>
      <c r="AB4" s="2" t="s">
        <v>2</v>
      </c>
    </row>
    <row r="5" spans="2:28" x14ac:dyDescent="0.25">
      <c r="B5" s="60" t="s">
        <v>3</v>
      </c>
      <c r="C5" s="64"/>
      <c r="D5" s="4">
        <f>+'Presupuesto 0'!D4*(1+$D$3)</f>
        <v>68666400</v>
      </c>
      <c r="E5" s="5"/>
      <c r="F5" s="4">
        <f>+'Presupuesto 0'!F4*(1+$D$3)</f>
        <v>65894400.000000007</v>
      </c>
      <c r="G5" s="4"/>
      <c r="H5" s="4">
        <f>+'Presupuesto 0'!H4*(1+$D$3)</f>
        <v>68204400</v>
      </c>
      <c r="I5" s="5"/>
      <c r="J5" s="4">
        <f>+'Presupuesto 0'!J4*(1+$D$3)</f>
        <v>68178000</v>
      </c>
      <c r="K5" s="4"/>
      <c r="L5" s="4">
        <f>+'Presupuesto 0'!L4*(1+$D$3)</f>
        <v>70514400</v>
      </c>
      <c r="M5" s="5"/>
      <c r="N5" s="4">
        <f>+'Presupuesto 0'!N4*(1+$D$3)</f>
        <v>66884400.000000007</v>
      </c>
      <c r="O5" s="4"/>
      <c r="P5" s="4">
        <f>+'Presupuesto 0'!P4*(1+$D$3)</f>
        <v>68864400</v>
      </c>
      <c r="Q5" s="5"/>
      <c r="R5" s="4">
        <f>+'Presupuesto 0'!R4*(1+$D$3)</f>
        <v>68864400</v>
      </c>
      <c r="S5" s="4"/>
      <c r="T5" s="4">
        <f>+'Presupuesto 0'!T4*(1+$D$3)</f>
        <v>67346400</v>
      </c>
      <c r="U5" s="5"/>
      <c r="V5" s="4">
        <f>+'Presupuesto 0'!V4*(1+$D$3)</f>
        <v>72006000</v>
      </c>
      <c r="W5" s="4"/>
      <c r="X5" s="4">
        <f>+'Presupuesto 0'!X4*(1+$D$3)</f>
        <v>61318888.888888888</v>
      </c>
      <c r="Y5" s="5"/>
      <c r="Z5" s="4">
        <f>+'Presupuesto 0'!Z4*(1+$D$3)</f>
        <v>66146666.666666664</v>
      </c>
      <c r="AA5" s="4"/>
      <c r="AB5" s="4">
        <f t="shared" ref="AB5:AB12" si="0">SUM(D5:Z5)</f>
        <v>812888755.55555546</v>
      </c>
    </row>
    <row r="6" spans="2:28" x14ac:dyDescent="0.25">
      <c r="B6" s="60" t="s">
        <v>4</v>
      </c>
      <c r="C6" s="64"/>
      <c r="D6" s="4">
        <f>+'Presupuesto 0'!D5*(1+$D$3)</f>
        <v>45777600</v>
      </c>
      <c r="E6" s="4"/>
      <c r="F6" s="4">
        <f>+'Presupuesto 0'!F5*(1+$D$3)</f>
        <v>43929600</v>
      </c>
      <c r="G6" s="4"/>
      <c r="H6" s="4">
        <f>+'Presupuesto 0'!H5*(1+$D$3)</f>
        <v>45469600</v>
      </c>
      <c r="I6" s="4"/>
      <c r="J6" s="4">
        <f>+'Presupuesto 0'!J5*(1+$D$3)</f>
        <v>45452000</v>
      </c>
      <c r="K6" s="4"/>
      <c r="L6" s="4">
        <f>+'Presupuesto 0'!L5*(1+$D$3)</f>
        <v>47009600.000000007</v>
      </c>
      <c r="M6" s="4"/>
      <c r="N6" s="4">
        <f>+'Presupuesto 0'!N5*(1+$D$3)</f>
        <v>44589600</v>
      </c>
      <c r="O6" s="4"/>
      <c r="P6" s="4">
        <f>+'Presupuesto 0'!P5*(1+$D$3)</f>
        <v>45909600</v>
      </c>
      <c r="Q6" s="4"/>
      <c r="R6" s="4">
        <f>+'Presupuesto 0'!R5*(1+$D$3)</f>
        <v>45909600</v>
      </c>
      <c r="S6" s="4"/>
      <c r="T6" s="4">
        <f>+'Presupuesto 0'!T5*(1+$D$3)</f>
        <v>44897600</v>
      </c>
      <c r="U6" s="4"/>
      <c r="V6" s="4">
        <f>+'Presupuesto 0'!V5*(1+$D$3)</f>
        <v>48004000.000000007</v>
      </c>
      <c r="W6" s="4"/>
      <c r="X6" s="4">
        <f>+'Presupuesto 0'!X5*(1+$D$3)</f>
        <v>40879259.259259261</v>
      </c>
      <c r="Y6" s="4"/>
      <c r="Z6" s="4">
        <f>+'Presupuesto 0'!Z5*(1+$D$3)</f>
        <v>44097777.777777784</v>
      </c>
      <c r="AA6" s="4"/>
      <c r="AB6" s="4">
        <f t="shared" si="0"/>
        <v>541925837.03703701</v>
      </c>
    </row>
    <row r="7" spans="2:28" hidden="1" x14ac:dyDescent="0.25">
      <c r="B7" s="60" t="s">
        <v>5</v>
      </c>
      <c r="C7" s="6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>
        <f t="shared" si="0"/>
        <v>0</v>
      </c>
    </row>
    <row r="8" spans="2:28" hidden="1" x14ac:dyDescent="0.25">
      <c r="B8" s="61" t="s">
        <v>6</v>
      </c>
      <c r="C8" s="6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>
        <f t="shared" si="0"/>
        <v>0</v>
      </c>
    </row>
    <row r="9" spans="2:28" hidden="1" x14ac:dyDescent="0.25">
      <c r="B9" s="61" t="s">
        <v>60</v>
      </c>
      <c r="C9" s="6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>
        <f t="shared" si="0"/>
        <v>0</v>
      </c>
    </row>
    <row r="10" spans="2:28" hidden="1" x14ac:dyDescent="0.25">
      <c r="B10" s="61" t="s">
        <v>7</v>
      </c>
      <c r="C10" s="6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>
        <f t="shared" si="0"/>
        <v>0</v>
      </c>
    </row>
    <row r="11" spans="2:28" hidden="1" x14ac:dyDescent="0.25">
      <c r="B11" s="61" t="s">
        <v>61</v>
      </c>
      <c r="C11" s="6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>
        <f t="shared" si="0"/>
        <v>0</v>
      </c>
    </row>
    <row r="12" spans="2:28" hidden="1" x14ac:dyDescent="0.25">
      <c r="B12" s="61"/>
      <c r="C12" s="6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>
        <f t="shared" si="0"/>
        <v>0</v>
      </c>
    </row>
    <row r="13" spans="2:28" x14ac:dyDescent="0.25">
      <c r="B13" s="62" t="s">
        <v>2</v>
      </c>
      <c r="C13" s="63"/>
      <c r="D13" s="6">
        <f>SUM(D5:D12)</f>
        <v>114444000</v>
      </c>
      <c r="E13" s="6"/>
      <c r="F13" s="6">
        <f>SUM(F5:F12)</f>
        <v>109824000</v>
      </c>
      <c r="G13" s="6"/>
      <c r="H13" s="6">
        <f>SUM(H5:H12)</f>
        <v>113674000</v>
      </c>
      <c r="I13" s="6"/>
      <c r="J13" s="6">
        <f>SUM(J5:J12)</f>
        <v>113630000</v>
      </c>
      <c r="K13" s="6"/>
      <c r="L13" s="6">
        <f>SUM(L5:L12)</f>
        <v>117524000</v>
      </c>
      <c r="M13" s="6"/>
      <c r="N13" s="6">
        <f>SUM(N5:N12)</f>
        <v>111474000</v>
      </c>
      <c r="O13" s="6"/>
      <c r="P13" s="6">
        <f>SUM(P5:P12)</f>
        <v>114774000</v>
      </c>
      <c r="Q13" s="6"/>
      <c r="R13" s="6">
        <f>SUM(R5:R12)</f>
        <v>114774000</v>
      </c>
      <c r="S13" s="6"/>
      <c r="T13" s="6">
        <f>SUM(T5:T12)</f>
        <v>112244000</v>
      </c>
      <c r="U13" s="6"/>
      <c r="V13" s="6">
        <f>SUM(V5:V12)</f>
        <v>120010000</v>
      </c>
      <c r="W13" s="6"/>
      <c r="X13" s="6">
        <f>SUM(X5:X12)</f>
        <v>102198148.14814815</v>
      </c>
      <c r="Y13" s="6"/>
      <c r="Z13" s="6">
        <f>SUM(Z5:Z12)</f>
        <v>110244444.44444445</v>
      </c>
      <c r="AA13" s="6"/>
      <c r="AB13" s="6">
        <f>SUM(AB5:AB12)</f>
        <v>1354814592.5925925</v>
      </c>
    </row>
    <row r="14" spans="2:28" x14ac:dyDescent="0.25">
      <c r="B14" s="62" t="s">
        <v>8</v>
      </c>
      <c r="C14" s="64"/>
      <c r="D14" s="4">
        <f>D13/'Ventas por día'!D11</f>
        <v>3814800</v>
      </c>
      <c r="E14" s="4"/>
      <c r="F14" s="4">
        <f>F13/'Ventas por día'!F11</f>
        <v>3787034.4827586208</v>
      </c>
      <c r="G14" s="4"/>
      <c r="H14" s="4">
        <f>H13/'Ventas por día'!H11</f>
        <v>3666903.2258064514</v>
      </c>
      <c r="I14" s="4"/>
      <c r="J14" s="4">
        <f>J13/'Ventas por día'!J11</f>
        <v>3787666.6666666665</v>
      </c>
      <c r="K14" s="4"/>
      <c r="L14" s="4">
        <f>L13/'Ventas por día'!L11</f>
        <v>3791096.7741935486</v>
      </c>
      <c r="M14" s="4"/>
      <c r="N14" s="4">
        <f>N13/'Ventas por día'!N11</f>
        <v>3715800</v>
      </c>
      <c r="O14" s="4"/>
      <c r="P14" s="4">
        <f>P13/'Ventas por día'!P11</f>
        <v>3702387.0967741935</v>
      </c>
      <c r="Q14" s="4"/>
      <c r="R14" s="4">
        <f>R13/'Ventas por día'!R11</f>
        <v>3702387.0967741935</v>
      </c>
      <c r="S14" s="4"/>
      <c r="T14" s="4">
        <f>T13/'Ventas por día'!T11</f>
        <v>3741466.6666666665</v>
      </c>
      <c r="U14" s="4"/>
      <c r="V14" s="4">
        <f>V13/'Ventas por día'!V11</f>
        <v>3871290.3225806453</v>
      </c>
      <c r="W14" s="4"/>
      <c r="X14" s="4">
        <f>X13/'Ventas por día'!X11</f>
        <v>3406604.9382716049</v>
      </c>
      <c r="Y14" s="4"/>
      <c r="Z14" s="4">
        <f>Z13/'Ventas por día'!Z11</f>
        <v>3674814.8148148148</v>
      </c>
      <c r="AA14" s="4"/>
      <c r="AB14" s="4"/>
    </row>
    <row r="15" spans="2:28" x14ac:dyDescent="0.25">
      <c r="B15" s="62" t="s">
        <v>9</v>
      </c>
      <c r="C15" s="64"/>
      <c r="D15" s="4">
        <f>D14/$D$16</f>
        <v>173.4</v>
      </c>
      <c r="E15" s="4"/>
      <c r="F15" s="4">
        <f>F14/$D$16</f>
        <v>172.13793103448276</v>
      </c>
      <c r="G15" s="4"/>
      <c r="H15" s="4">
        <f>H14/$D$16</f>
        <v>166.67741935483869</v>
      </c>
      <c r="I15" s="4"/>
      <c r="J15" s="4">
        <f>J14/$D$16</f>
        <v>172.16666666666666</v>
      </c>
      <c r="K15" s="4"/>
      <c r="L15" s="4">
        <f>L14/$D$16</f>
        <v>172.32258064516131</v>
      </c>
      <c r="M15" s="4"/>
      <c r="N15" s="4">
        <f>N14/$D$16</f>
        <v>168.9</v>
      </c>
      <c r="O15" s="4"/>
      <c r="P15" s="4">
        <f>P14/$D$16</f>
        <v>168.29032258064515</v>
      </c>
      <c r="Q15" s="4"/>
      <c r="R15" s="4">
        <f>R14/$D$16</f>
        <v>168.29032258064515</v>
      </c>
      <c r="S15" s="4"/>
      <c r="T15" s="4">
        <f>T14/$D$16</f>
        <v>170.06666666666666</v>
      </c>
      <c r="U15" s="4"/>
      <c r="V15" s="4">
        <f>V14/$D$16</f>
        <v>175.96774193548387</v>
      </c>
      <c r="W15" s="4"/>
      <c r="X15" s="4">
        <f>X14/$D$16</f>
        <v>154.84567901234567</v>
      </c>
      <c r="Y15" s="4"/>
      <c r="Z15" s="4">
        <f>Z14/$D$16</f>
        <v>167.03703703703704</v>
      </c>
      <c r="AA15" s="4"/>
      <c r="AB15" s="3"/>
    </row>
    <row r="16" spans="2:28" ht="13" thickBot="1" x14ac:dyDescent="0.3">
      <c r="B16" s="40" t="s">
        <v>10</v>
      </c>
      <c r="C16" s="41"/>
      <c r="D16" s="52">
        <f>+'Presupuesto 0'!D15</f>
        <v>22000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7"/>
    </row>
    <row r="17" spans="2:28" ht="13" thickTop="1" x14ac:dyDescent="0.25">
      <c r="B17" s="65"/>
      <c r="C17" s="20"/>
      <c r="D17" s="66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7"/>
    </row>
    <row r="18" spans="2:28" x14ac:dyDescent="0.25">
      <c r="B18" s="59" t="s">
        <v>11</v>
      </c>
      <c r="C18" s="63"/>
      <c r="D18" s="29" t="s">
        <v>48</v>
      </c>
      <c r="E18" s="2" t="s">
        <v>1</v>
      </c>
      <c r="F18" s="29" t="s">
        <v>49</v>
      </c>
      <c r="G18" s="2" t="s">
        <v>1</v>
      </c>
      <c r="H18" s="29" t="s">
        <v>50</v>
      </c>
      <c r="I18" s="2" t="s">
        <v>1</v>
      </c>
      <c r="J18" s="29" t="s">
        <v>51</v>
      </c>
      <c r="K18" s="2" t="s">
        <v>1</v>
      </c>
      <c r="L18" s="29" t="s">
        <v>52</v>
      </c>
      <c r="M18" s="2" t="s">
        <v>1</v>
      </c>
      <c r="N18" s="29" t="s">
        <v>53</v>
      </c>
      <c r="O18" s="2" t="s">
        <v>1</v>
      </c>
      <c r="P18" s="29" t="s">
        <v>54</v>
      </c>
      <c r="Q18" s="2" t="s">
        <v>1</v>
      </c>
      <c r="R18" s="29" t="s">
        <v>55</v>
      </c>
      <c r="S18" s="2" t="s">
        <v>1</v>
      </c>
      <c r="T18" s="29" t="s">
        <v>56</v>
      </c>
      <c r="U18" s="2" t="s">
        <v>1</v>
      </c>
      <c r="V18" s="29" t="s">
        <v>57</v>
      </c>
      <c r="W18" s="2" t="s">
        <v>1</v>
      </c>
      <c r="X18" s="29" t="s">
        <v>58</v>
      </c>
      <c r="Y18" s="2" t="s">
        <v>1</v>
      </c>
      <c r="Z18" s="29" t="s">
        <v>59</v>
      </c>
      <c r="AA18" s="2" t="s">
        <v>1</v>
      </c>
      <c r="AB18" s="2" t="s">
        <v>2</v>
      </c>
    </row>
    <row r="19" spans="2:28" x14ac:dyDescent="0.25">
      <c r="B19" s="3" t="s">
        <v>12</v>
      </c>
      <c r="C19" s="10">
        <f>+'Presupuesto 0'!C18</f>
        <v>0.38</v>
      </c>
      <c r="D19" s="4">
        <f>D5*$C$19</f>
        <v>26093232</v>
      </c>
      <c r="E19" s="10"/>
      <c r="F19" s="4">
        <f>F5*$C$19</f>
        <v>25039872.000000004</v>
      </c>
      <c r="G19" s="10"/>
      <c r="H19" s="4">
        <f>H5*$C$19</f>
        <v>25917672</v>
      </c>
      <c r="I19" s="10"/>
      <c r="J19" s="4">
        <f>J5*$C$19</f>
        <v>25907640</v>
      </c>
      <c r="K19" s="10"/>
      <c r="L19" s="4">
        <f>L5*$C$19</f>
        <v>26795472</v>
      </c>
      <c r="M19" s="10"/>
      <c r="N19" s="4">
        <f>N5*$C$19</f>
        <v>25416072.000000004</v>
      </c>
      <c r="O19" s="10"/>
      <c r="P19" s="4">
        <f>P5*$C$19</f>
        <v>26168472</v>
      </c>
      <c r="Q19" s="10"/>
      <c r="R19" s="4">
        <f>R5*$C$19</f>
        <v>26168472</v>
      </c>
      <c r="S19" s="10"/>
      <c r="T19" s="4">
        <f>T5*$C$19</f>
        <v>25591632</v>
      </c>
      <c r="U19" s="10"/>
      <c r="V19" s="4">
        <f>V5*$C$19</f>
        <v>27362280</v>
      </c>
      <c r="W19" s="10"/>
      <c r="X19" s="4">
        <f>X5*$C$19</f>
        <v>23301177.777777776</v>
      </c>
      <c r="Y19" s="10"/>
      <c r="Z19" s="4">
        <f>Z5*$C$19</f>
        <v>25135733.333333332</v>
      </c>
      <c r="AA19" s="10"/>
      <c r="AB19" s="4">
        <f>SUM(D19:Z19)</f>
        <v>308897727.1111111</v>
      </c>
    </row>
    <row r="20" spans="2:28" x14ac:dyDescent="0.25">
      <c r="B20" s="3" t="s">
        <v>13</v>
      </c>
      <c r="C20" s="10">
        <f>+'Presupuesto 0'!C19</f>
        <v>0.43</v>
      </c>
      <c r="D20" s="4">
        <f>D6*$C$20</f>
        <v>19684368</v>
      </c>
      <c r="E20" s="10"/>
      <c r="F20" s="4">
        <f>F6*$C$20</f>
        <v>18889728</v>
      </c>
      <c r="G20" s="10"/>
      <c r="H20" s="4">
        <f>H6*$C$20</f>
        <v>19551928</v>
      </c>
      <c r="I20" s="10"/>
      <c r="J20" s="4">
        <f>J6*$C$20</f>
        <v>19544360</v>
      </c>
      <c r="K20" s="10"/>
      <c r="L20" s="4">
        <f>L6*$C$20</f>
        <v>20214128.000000004</v>
      </c>
      <c r="M20" s="10"/>
      <c r="N20" s="4">
        <f>N6*$C$20</f>
        <v>19173528</v>
      </c>
      <c r="O20" s="10"/>
      <c r="P20" s="4">
        <f>P6*$C$20</f>
        <v>19741128</v>
      </c>
      <c r="Q20" s="10"/>
      <c r="R20" s="4">
        <f>R6*$C$20</f>
        <v>19741128</v>
      </c>
      <c r="S20" s="10"/>
      <c r="T20" s="4">
        <f>T6*$C$20</f>
        <v>19305968</v>
      </c>
      <c r="U20" s="10"/>
      <c r="V20" s="4">
        <f>V6*$C$20</f>
        <v>20641720.000000004</v>
      </c>
      <c r="W20" s="10"/>
      <c r="X20" s="4">
        <f>X6*$C$20</f>
        <v>17578081.481481481</v>
      </c>
      <c r="Y20" s="10"/>
      <c r="Z20" s="4">
        <f>Z6*$C$20</f>
        <v>18962044.444444448</v>
      </c>
      <c r="AA20" s="10"/>
      <c r="AB20" s="4">
        <f>SUM(D20:Z20)</f>
        <v>233028109.92592594</v>
      </c>
    </row>
    <row r="21" spans="2:28" hidden="1" x14ac:dyDescent="0.25">
      <c r="B21" s="3" t="s">
        <v>14</v>
      </c>
      <c r="C21" s="10">
        <v>0.35</v>
      </c>
      <c r="D21" s="4">
        <f>D7*$C$21</f>
        <v>0</v>
      </c>
      <c r="E21" s="10"/>
      <c r="F21" s="4">
        <f>F7*$C$21</f>
        <v>0</v>
      </c>
      <c r="G21" s="10"/>
      <c r="H21" s="4">
        <f>H7*$C$21</f>
        <v>0</v>
      </c>
      <c r="I21" s="10"/>
      <c r="J21" s="4">
        <f>J7*$C$21</f>
        <v>0</v>
      </c>
      <c r="K21" s="10"/>
      <c r="L21" s="4">
        <f>L7*$C$21</f>
        <v>0</v>
      </c>
      <c r="M21" s="10"/>
      <c r="N21" s="4">
        <f>N7*$C$21</f>
        <v>0</v>
      </c>
      <c r="O21" s="10"/>
      <c r="P21" s="4">
        <f>P7*$C$21</f>
        <v>0</v>
      </c>
      <c r="Q21" s="10"/>
      <c r="R21" s="4">
        <f>R7*$C$21</f>
        <v>0</v>
      </c>
      <c r="S21" s="10"/>
      <c r="T21" s="4">
        <f>T7*$C$21</f>
        <v>0</v>
      </c>
      <c r="U21" s="10"/>
      <c r="V21" s="4">
        <f>V7*$C$21</f>
        <v>0</v>
      </c>
      <c r="W21" s="10"/>
      <c r="X21" s="4">
        <f>X7*$C$21</f>
        <v>0</v>
      </c>
      <c r="Y21" s="10"/>
      <c r="Z21" s="4">
        <f>Z7*$C$21</f>
        <v>0</v>
      </c>
      <c r="AA21" s="10"/>
      <c r="AB21" s="4">
        <f>SUM(D21:Z21)</f>
        <v>0</v>
      </c>
    </row>
    <row r="22" spans="2:28" ht="13" thickBot="1" x14ac:dyDescent="0.3">
      <c r="B22" s="1" t="s">
        <v>2</v>
      </c>
      <c r="C22" s="1"/>
      <c r="D22" s="6">
        <f>SUM(D19:D21)</f>
        <v>45777600</v>
      </c>
      <c r="E22" s="51"/>
      <c r="F22" s="6">
        <f>SUM(F19:F21)</f>
        <v>43929600</v>
      </c>
      <c r="G22" s="51"/>
      <c r="H22" s="6">
        <f>SUM(H19:H21)</f>
        <v>45469600</v>
      </c>
      <c r="I22" s="51"/>
      <c r="J22" s="6">
        <f>SUM(J19:J21)</f>
        <v>45452000</v>
      </c>
      <c r="K22" s="51"/>
      <c r="L22" s="6">
        <f>SUM(L19:L21)</f>
        <v>47009600</v>
      </c>
      <c r="M22" s="51"/>
      <c r="N22" s="6">
        <f>SUM(N19:N21)</f>
        <v>44589600</v>
      </c>
      <c r="O22" s="51"/>
      <c r="P22" s="6">
        <f>SUM(P19:P21)</f>
        <v>45909600</v>
      </c>
      <c r="Q22" s="51"/>
      <c r="R22" s="6">
        <f>SUM(R19:R21)</f>
        <v>45909600</v>
      </c>
      <c r="S22" s="51"/>
      <c r="T22" s="6">
        <f>SUM(T19:T21)</f>
        <v>44897600</v>
      </c>
      <c r="U22" s="51"/>
      <c r="V22" s="6">
        <f>SUM(V19:V21)</f>
        <v>48004000</v>
      </c>
      <c r="W22" s="51"/>
      <c r="X22" s="6">
        <f>SUM(X19:X21)</f>
        <v>40879259.259259254</v>
      </c>
      <c r="Y22" s="51"/>
      <c r="Z22" s="6">
        <f>SUM(Z19:Z21)</f>
        <v>44097777.777777776</v>
      </c>
      <c r="AA22" s="51"/>
      <c r="AB22" s="6">
        <f>SUM(D22:Z22)</f>
        <v>541925837.03703701</v>
      </c>
    </row>
    <row r="23" spans="2:28" ht="14.25" customHeight="1" thickTop="1" thickBot="1" x14ac:dyDescent="0.3">
      <c r="B23" s="46" t="s">
        <v>15</v>
      </c>
      <c r="C23" s="47"/>
      <c r="D23" s="50">
        <f>D13-D22</f>
        <v>68666400</v>
      </c>
      <c r="E23" s="48"/>
      <c r="F23" s="50">
        <f>F13-F22</f>
        <v>65894400</v>
      </c>
      <c r="G23" s="49"/>
      <c r="H23" s="50">
        <f>H13-H22</f>
        <v>68204400</v>
      </c>
      <c r="I23" s="48"/>
      <c r="J23" s="50">
        <f>J13-J22</f>
        <v>68178000</v>
      </c>
      <c r="K23" s="48"/>
      <c r="L23" s="50">
        <f>L13-L22</f>
        <v>70514400</v>
      </c>
      <c r="M23" s="48"/>
      <c r="N23" s="50">
        <f>N13-N22</f>
        <v>66884400</v>
      </c>
      <c r="O23" s="48"/>
      <c r="P23" s="50">
        <f>P13-P22</f>
        <v>68864400</v>
      </c>
      <c r="Q23" s="48"/>
      <c r="R23" s="50">
        <f>R13-R22</f>
        <v>68864400</v>
      </c>
      <c r="S23" s="48"/>
      <c r="T23" s="50">
        <f>T13-T22</f>
        <v>67346400</v>
      </c>
      <c r="U23" s="48"/>
      <c r="V23" s="50">
        <f>V13-V22</f>
        <v>72006000</v>
      </c>
      <c r="W23" s="48"/>
      <c r="X23" s="50">
        <f>X13-X22</f>
        <v>61318888.888888896</v>
      </c>
      <c r="Y23" s="48"/>
      <c r="Z23" s="50">
        <f>Z13-Z22</f>
        <v>66146666.666666672</v>
      </c>
      <c r="AA23" s="48"/>
      <c r="AB23" s="50">
        <f>SUM(D23:Z23)</f>
        <v>812888755.55555546</v>
      </c>
    </row>
    <row r="24" spans="2:28" ht="9.25" customHeight="1" thickTop="1" x14ac:dyDescent="0.25">
      <c r="B24" s="7"/>
      <c r="C24" s="7"/>
      <c r="D24" s="8"/>
      <c r="E24" s="11"/>
      <c r="F24" s="8"/>
      <c r="G24" s="11"/>
      <c r="H24" s="8"/>
      <c r="I24" s="11"/>
      <c r="J24" s="8"/>
      <c r="K24" s="11"/>
      <c r="L24" s="8"/>
      <c r="M24" s="11"/>
      <c r="N24" s="8"/>
      <c r="O24" s="11"/>
      <c r="P24" s="8"/>
      <c r="Q24" s="11"/>
      <c r="R24" s="8"/>
      <c r="S24" s="11"/>
      <c r="T24" s="8"/>
      <c r="U24" s="11"/>
      <c r="V24" s="8"/>
      <c r="W24" s="11"/>
      <c r="X24" s="8"/>
      <c r="Y24" s="11"/>
      <c r="Z24" s="8"/>
      <c r="AA24" s="11"/>
      <c r="AB24" s="7"/>
    </row>
    <row r="25" spans="2:28" ht="9.25" customHeight="1" thickBot="1" x14ac:dyDescent="0.3">
      <c r="B25" s="9" t="s">
        <v>16</v>
      </c>
      <c r="C25" s="9"/>
      <c r="D25" s="12">
        <f>SUM(D39:D56)+D26</f>
        <v>54567662.456767991</v>
      </c>
      <c r="E25" s="13">
        <f>D25/D13</f>
        <v>0.47680666925979509</v>
      </c>
      <c r="F25" s="12">
        <f>SUM(F39:F56)+F26</f>
        <v>54417512.456767991</v>
      </c>
      <c r="G25" s="13">
        <f>F25/F13</f>
        <v>0.49549745462529132</v>
      </c>
      <c r="H25" s="12">
        <f>SUM(H39:H56)+H26</f>
        <v>54542637.456767991</v>
      </c>
      <c r="I25" s="13">
        <f>H25/H13</f>
        <v>0.47981629446283225</v>
      </c>
      <c r="J25" s="12">
        <f>SUM(J39:J56)+J26</f>
        <v>54541207.456767991</v>
      </c>
      <c r="K25" s="13">
        <f>J25/J13</f>
        <v>0.47998950503184012</v>
      </c>
      <c r="L25" s="12">
        <f>SUM(L39:L56)+L26</f>
        <v>54667762.456767991</v>
      </c>
      <c r="M25" s="13">
        <f>L25/L13</f>
        <v>0.46516254090030967</v>
      </c>
      <c r="N25" s="12">
        <f>SUM(N39:N56)+N26</f>
        <v>54471137.456767991</v>
      </c>
      <c r="O25" s="13">
        <f>N25/N13</f>
        <v>0.48864432474629055</v>
      </c>
      <c r="P25" s="12">
        <f>SUM(P39:P56)+P26</f>
        <v>54578387.456767991</v>
      </c>
      <c r="Q25" s="13">
        <f>P25/P13</f>
        <v>0.4755291917748618</v>
      </c>
      <c r="R25" s="12">
        <f>SUM(R39:R56)+R26</f>
        <v>54578387.456767991</v>
      </c>
      <c r="S25" s="13">
        <f>R25/R13</f>
        <v>0.4755291917748618</v>
      </c>
      <c r="T25" s="12">
        <f>SUM(T39:T56)+T26</f>
        <v>54496162.456767991</v>
      </c>
      <c r="U25" s="13">
        <f>T25/T13</f>
        <v>0.48551514964513015</v>
      </c>
      <c r="V25" s="12">
        <f>SUM(V39:V56)+V26</f>
        <v>54748557.456767991</v>
      </c>
      <c r="W25" s="13">
        <f>V25/V13</f>
        <v>0.45619996214288799</v>
      </c>
      <c r="X25" s="12">
        <f>SUM(X39:X56)+X26</f>
        <v>54169672.271582812</v>
      </c>
      <c r="Y25" s="13">
        <f>X25/X13</f>
        <v>0.53004553656938624</v>
      </c>
      <c r="Z25" s="12">
        <f>SUM(Z39:Z56)+Z26</f>
        <v>54431176.901212439</v>
      </c>
      <c r="AA25" s="13">
        <f>Z25/Z13</f>
        <v>0.49373169936596645</v>
      </c>
      <c r="AB25" s="12">
        <f t="shared" ref="AB25:AB38" si="1">SUM(D25:Z25)</f>
        <v>654210269.04921103</v>
      </c>
    </row>
    <row r="26" spans="2:28" ht="11.15" customHeight="1" thickTop="1" x14ac:dyDescent="0.25">
      <c r="B26" s="14" t="s">
        <v>17</v>
      </c>
      <c r="C26" s="15"/>
      <c r="D26" s="16">
        <f>SUM(D27:D38)</f>
        <v>27384912.456767995</v>
      </c>
      <c r="E26" s="17">
        <f t="shared" ref="E26:E38" si="2">D26/D$13</f>
        <v>0.23928657209436927</v>
      </c>
      <c r="F26" s="16">
        <f>SUM(F27:F38)</f>
        <v>27384912.456767995</v>
      </c>
      <c r="G26" s="17">
        <f t="shared" ref="G26:G38" si="3">F26/F$13</f>
        <v>0.24935271394930064</v>
      </c>
      <c r="H26" s="16">
        <f>SUM(H27:H38)</f>
        <v>27384912.456767995</v>
      </c>
      <c r="I26" s="17">
        <f t="shared" ref="I26:I38" si="4">H26/H$13</f>
        <v>0.24090744107507428</v>
      </c>
      <c r="J26" s="16">
        <f>SUM(J27:J38)</f>
        <v>27384912.456767995</v>
      </c>
      <c r="K26" s="17">
        <f t="shared" ref="K26:K38" si="5">J26/J$13</f>
        <v>0.24100072566019531</v>
      </c>
      <c r="L26" s="16">
        <f>SUM(L27:L38)</f>
        <v>27384912.456767995</v>
      </c>
      <c r="M26" s="17">
        <f t="shared" ref="M26:M38" si="6">L26/L$13</f>
        <v>0.23301549008515704</v>
      </c>
      <c r="N26" s="16">
        <f>SUM(N27:N38)</f>
        <v>27384912.456767995</v>
      </c>
      <c r="O26" s="17">
        <f t="shared" ref="O26:O38" si="7">N26/N$13</f>
        <v>0.24566188040949455</v>
      </c>
      <c r="P26" s="16">
        <f>SUM(P27:P38)</f>
        <v>27384912.456767995</v>
      </c>
      <c r="Q26" s="17">
        <f t="shared" ref="Q26:Q38" si="8">P26/P$13</f>
        <v>0.23859857159956083</v>
      </c>
      <c r="R26" s="16">
        <f>SUM(R27:R38)</f>
        <v>27384912.456767995</v>
      </c>
      <c r="S26" s="17">
        <f t="shared" ref="S26:S38" si="9">R26/R$13</f>
        <v>0.23859857159956083</v>
      </c>
      <c r="T26" s="16">
        <f>SUM(T27:T38)</f>
        <v>27384912.456767995</v>
      </c>
      <c r="U26" s="17">
        <f t="shared" ref="U26:U38" si="10">T26/T$13</f>
        <v>0.24397662642785356</v>
      </c>
      <c r="V26" s="16">
        <f>SUM(V27:V38)</f>
        <v>27384912.456767995</v>
      </c>
      <c r="W26" s="17">
        <f t="shared" ref="W26:W38" si="11">V26/V$13</f>
        <v>0.22818858809072573</v>
      </c>
      <c r="X26" s="16">
        <f>SUM(X27:X38)</f>
        <v>27384912.456767995</v>
      </c>
      <c r="Y26" s="17">
        <f t="shared" ref="Y26:Y38" si="12">X26/X$13</f>
        <v>0.26795898901289644</v>
      </c>
      <c r="Z26" s="16">
        <f>SUM(Z27:Z38)</f>
        <v>27384912.456767995</v>
      </c>
      <c r="AA26" s="17">
        <f t="shared" ref="AA26:AA56" si="13">Z26/Z$13</f>
        <v>0.24840174572758714</v>
      </c>
      <c r="AB26" s="18">
        <f t="shared" si="1"/>
        <v>328618952.14776212</v>
      </c>
    </row>
    <row r="27" spans="2:28" ht="11.15" customHeight="1" x14ac:dyDescent="0.25">
      <c r="B27" s="19" t="s">
        <v>18</v>
      </c>
      <c r="C27" s="20"/>
      <c r="D27" s="21">
        <f>+Nómina!$D$46</f>
        <v>15680000</v>
      </c>
      <c r="E27" s="22">
        <f t="shared" si="2"/>
        <v>0.1370102408164692</v>
      </c>
      <c r="F27" s="21">
        <f>+Nómina!$D$46</f>
        <v>15680000</v>
      </c>
      <c r="G27" s="22">
        <f t="shared" si="3"/>
        <v>0.14277389277389277</v>
      </c>
      <c r="H27" s="21">
        <f>+Nómina!$D$46</f>
        <v>15680000</v>
      </c>
      <c r="I27" s="22">
        <f t="shared" si="4"/>
        <v>0.13793831483012825</v>
      </c>
      <c r="J27" s="21">
        <f>+Nómina!$D$46</f>
        <v>15680000</v>
      </c>
      <c r="K27" s="22">
        <f t="shared" si="5"/>
        <v>0.13799172753674205</v>
      </c>
      <c r="L27" s="21">
        <f>+Nómina!$D$46</f>
        <v>15680000</v>
      </c>
      <c r="M27" s="22">
        <f t="shared" si="6"/>
        <v>0.13341955685647186</v>
      </c>
      <c r="N27" s="21">
        <f>+Nómina!$D$46</f>
        <v>15680000</v>
      </c>
      <c r="O27" s="22">
        <f t="shared" si="7"/>
        <v>0.1406606024723254</v>
      </c>
      <c r="P27" s="21">
        <f>+Nómina!$D$46</f>
        <v>15680000</v>
      </c>
      <c r="Q27" s="22">
        <f t="shared" si="8"/>
        <v>0.13661630682907278</v>
      </c>
      <c r="R27" s="21">
        <f>+Nómina!$D$46</f>
        <v>15680000</v>
      </c>
      <c r="S27" s="22">
        <f t="shared" si="9"/>
        <v>0.13661630682907278</v>
      </c>
      <c r="T27" s="21">
        <f>+Nómina!$D$46</f>
        <v>15680000</v>
      </c>
      <c r="U27" s="22">
        <f t="shared" si="10"/>
        <v>0.13969566301984962</v>
      </c>
      <c r="V27" s="21">
        <f>+Nómina!$D$46</f>
        <v>15680000</v>
      </c>
      <c r="W27" s="22">
        <f t="shared" si="11"/>
        <v>0.13065577868510958</v>
      </c>
      <c r="X27" s="21">
        <f>+Nómina!$D$46</f>
        <v>15680000</v>
      </c>
      <c r="Y27" s="22">
        <f t="shared" si="12"/>
        <v>0.15342743762117889</v>
      </c>
      <c r="Z27" s="21">
        <f>+Nómina!$D$46</f>
        <v>15680000</v>
      </c>
      <c r="AA27" s="22">
        <f t="shared" si="13"/>
        <v>0.14222938923604111</v>
      </c>
      <c r="AB27" s="23">
        <f t="shared" si="1"/>
        <v>188160001.52680582</v>
      </c>
    </row>
    <row r="28" spans="2:28" ht="11.15" customHeight="1" x14ac:dyDescent="0.25">
      <c r="B28" s="19" t="s">
        <v>19</v>
      </c>
      <c r="C28" s="20"/>
      <c r="D28" s="21">
        <f>+(D27*0.1)</f>
        <v>1568000</v>
      </c>
      <c r="E28" s="22">
        <f t="shared" si="2"/>
        <v>1.3701024081646919E-2</v>
      </c>
      <c r="F28" s="21">
        <f>+(F27*0.1)</f>
        <v>1568000</v>
      </c>
      <c r="G28" s="22">
        <f t="shared" si="3"/>
        <v>1.4277389277389278E-2</v>
      </c>
      <c r="H28" s="21">
        <f>+(H27*0.1)</f>
        <v>1568000</v>
      </c>
      <c r="I28" s="22">
        <f t="shared" si="4"/>
        <v>1.3793831483012825E-2</v>
      </c>
      <c r="J28" s="21">
        <f>+(J27*0.1)</f>
        <v>1568000</v>
      </c>
      <c r="K28" s="22">
        <f t="shared" si="5"/>
        <v>1.3799172753674207E-2</v>
      </c>
      <c r="L28" s="21">
        <f>+(L27*0.1)</f>
        <v>1568000</v>
      </c>
      <c r="M28" s="22">
        <f t="shared" si="6"/>
        <v>1.3341955685647187E-2</v>
      </c>
      <c r="N28" s="21">
        <f>+(N27*0.1)</f>
        <v>1568000</v>
      </c>
      <c r="O28" s="22">
        <f t="shared" si="7"/>
        <v>1.4066060247232538E-2</v>
      </c>
      <c r="P28" s="21">
        <f>+(P27*0.1)</f>
        <v>1568000</v>
      </c>
      <c r="Q28" s="22">
        <f t="shared" si="8"/>
        <v>1.3661630682907279E-2</v>
      </c>
      <c r="R28" s="21">
        <f>+(R27*0.1)</f>
        <v>1568000</v>
      </c>
      <c r="S28" s="22">
        <f t="shared" si="9"/>
        <v>1.3661630682907279E-2</v>
      </c>
      <c r="T28" s="21">
        <f>+(T27*0.1)</f>
        <v>1568000</v>
      </c>
      <c r="U28" s="22">
        <f t="shared" si="10"/>
        <v>1.3969566301984961E-2</v>
      </c>
      <c r="V28" s="21">
        <f>+(V27*0.1)</f>
        <v>1568000</v>
      </c>
      <c r="W28" s="22">
        <f t="shared" si="11"/>
        <v>1.3065577868510958E-2</v>
      </c>
      <c r="X28" s="21">
        <f>+(X27*0.1)</f>
        <v>1568000</v>
      </c>
      <c r="Y28" s="22">
        <f t="shared" si="12"/>
        <v>1.534274376211789E-2</v>
      </c>
      <c r="Z28" s="21">
        <f>+(Z27*0.1)</f>
        <v>1568000</v>
      </c>
      <c r="AA28" s="22">
        <f t="shared" si="13"/>
        <v>1.4222938923604111E-2</v>
      </c>
      <c r="AB28" s="23">
        <f t="shared" si="1"/>
        <v>18816000.152680583</v>
      </c>
    </row>
    <row r="29" spans="2:28" ht="11.15" customHeight="1" x14ac:dyDescent="0.25">
      <c r="B29" s="19" t="s">
        <v>20</v>
      </c>
      <c r="C29" s="20"/>
      <c r="D29" s="21">
        <f>+'Presupuesto 0'!D28</f>
        <v>1645664</v>
      </c>
      <c r="E29" s="22">
        <f t="shared" si="2"/>
        <v>1.4379644192792982E-2</v>
      </c>
      <c r="F29" s="21">
        <f>+'Presupuesto 0'!F28</f>
        <v>1645664</v>
      </c>
      <c r="G29" s="22">
        <f t="shared" si="3"/>
        <v>1.4984557109557109E-2</v>
      </c>
      <c r="H29" s="21">
        <f>+'Presupuesto 0'!H28</f>
        <v>1645664</v>
      </c>
      <c r="I29" s="22">
        <f t="shared" si="4"/>
        <v>1.44770484015694E-2</v>
      </c>
      <c r="J29" s="21">
        <f>+'Presupuesto 0'!J28</f>
        <v>1645664</v>
      </c>
      <c r="K29" s="22">
        <f t="shared" si="5"/>
        <v>1.4482654228636803E-2</v>
      </c>
      <c r="L29" s="21">
        <f>+'Presupuesto 0'!L28</f>
        <v>1645664</v>
      </c>
      <c r="M29" s="22">
        <f t="shared" si="6"/>
        <v>1.4002790919301589E-2</v>
      </c>
      <c r="N29" s="21">
        <f>+'Presupuesto 0'!N28</f>
        <v>1645664</v>
      </c>
      <c r="O29" s="22">
        <f t="shared" si="7"/>
        <v>1.4762760823151587E-2</v>
      </c>
      <c r="P29" s="21">
        <f>+'Presupuesto 0'!P28</f>
        <v>1645664</v>
      </c>
      <c r="Q29" s="22">
        <f t="shared" si="8"/>
        <v>1.4338299614895359E-2</v>
      </c>
      <c r="R29" s="21">
        <f>+'Presupuesto 0'!R28</f>
        <v>1645664</v>
      </c>
      <c r="S29" s="22">
        <f t="shared" si="9"/>
        <v>1.4338299614895359E-2</v>
      </c>
      <c r="T29" s="21">
        <f>+'Presupuesto 0'!T28</f>
        <v>1645664</v>
      </c>
      <c r="U29" s="22">
        <f t="shared" si="10"/>
        <v>1.4661487473717972E-2</v>
      </c>
      <c r="V29" s="21">
        <f>+'Presupuesto 0'!V28</f>
        <v>1645664</v>
      </c>
      <c r="W29" s="22">
        <f t="shared" si="11"/>
        <v>1.3712723939671694E-2</v>
      </c>
      <c r="X29" s="21">
        <f>+'Presupuesto 0'!X28</f>
        <v>1645664</v>
      </c>
      <c r="Y29" s="22">
        <f t="shared" si="12"/>
        <v>1.6102679254172178E-2</v>
      </c>
      <c r="Z29" s="21">
        <f>+'Presupuesto 0'!Z28</f>
        <v>1645664</v>
      </c>
      <c r="AA29" s="22"/>
      <c r="AB29" s="23">
        <f t="shared" si="1"/>
        <v>19747968.160242945</v>
      </c>
    </row>
    <row r="30" spans="2:28" ht="11.15" customHeight="1" x14ac:dyDescent="0.25">
      <c r="B30" s="19" t="s">
        <v>21</v>
      </c>
      <c r="C30" s="20"/>
      <c r="D30" s="21">
        <f>0.083333333*($D$27+$D$28)</f>
        <v>1437333.3275839998</v>
      </c>
      <c r="E30" s="22">
        <f t="shared" si="2"/>
        <v>1.255927202460592E-2</v>
      </c>
      <c r="F30" s="21">
        <f>0.083333333*($D$27+$D$28)</f>
        <v>1437333.3275839998</v>
      </c>
      <c r="G30" s="22">
        <f t="shared" si="3"/>
        <v>1.3087606785256408E-2</v>
      </c>
      <c r="H30" s="21">
        <f>0.083333333*($D$27+$D$28)</f>
        <v>1437333.3275839998</v>
      </c>
      <c r="I30" s="22">
        <f t="shared" si="4"/>
        <v>1.2644345475517706E-2</v>
      </c>
      <c r="J30" s="21">
        <f>0.083333333*($D$27+$D$28)</f>
        <v>1437333.3275839998</v>
      </c>
      <c r="K30" s="22">
        <f t="shared" si="5"/>
        <v>1.2649241640271053E-2</v>
      </c>
      <c r="L30" s="21">
        <f>0.083333333*($D$27+$D$28)</f>
        <v>1437333.3275839998</v>
      </c>
      <c r="M30" s="22">
        <f t="shared" si="6"/>
        <v>1.2230125996256083E-2</v>
      </c>
      <c r="N30" s="21">
        <f>0.083333333*($D$27+$D$28)</f>
        <v>1437333.3275839998</v>
      </c>
      <c r="O30" s="22">
        <f t="shared" si="7"/>
        <v>1.2893888508387604E-2</v>
      </c>
      <c r="P30" s="21">
        <f>0.083333333*($D$27+$D$28)</f>
        <v>1437333.3275839998</v>
      </c>
      <c r="Q30" s="22">
        <f t="shared" si="8"/>
        <v>1.2523161409239024E-2</v>
      </c>
      <c r="R30" s="21">
        <f>0.083333333*($D$27+$D$28)</f>
        <v>1437333.3275839998</v>
      </c>
      <c r="S30" s="22">
        <f t="shared" si="9"/>
        <v>1.2523161409239024E-2</v>
      </c>
      <c r="T30" s="21">
        <f>0.083333333*($D$27+$D$28)</f>
        <v>1437333.3275839998</v>
      </c>
      <c r="U30" s="22">
        <f t="shared" si="10"/>
        <v>1.2805435725597803E-2</v>
      </c>
      <c r="V30" s="21">
        <f>0.083333333*($D$27+$D$28)</f>
        <v>1437333.3275839998</v>
      </c>
      <c r="W30" s="22">
        <f t="shared" si="11"/>
        <v>1.1976779664894591E-2</v>
      </c>
      <c r="X30" s="21">
        <f>0.083333333*($D$27+$D$28)</f>
        <v>1437333.3275839998</v>
      </c>
      <c r="Y30" s="22">
        <f t="shared" si="12"/>
        <v>1.4064181725684671E-2</v>
      </c>
      <c r="Z30" s="21">
        <f>0.083333333*($D$27+$D$28)</f>
        <v>1437333.3275839998</v>
      </c>
      <c r="AA30" s="22">
        <f t="shared" si="13"/>
        <v>1.3037693961152992E-2</v>
      </c>
      <c r="AB30" s="23">
        <f t="shared" si="1"/>
        <v>17248000.070965204</v>
      </c>
    </row>
    <row r="31" spans="2:28" ht="11.15" customHeight="1" x14ac:dyDescent="0.25">
      <c r="B31" s="19" t="s">
        <v>22</v>
      </c>
      <c r="C31" s="20"/>
      <c r="D31" s="21">
        <f>0.083333333*($D$27+$D$28)</f>
        <v>1437333.3275839998</v>
      </c>
      <c r="E31" s="22">
        <f t="shared" si="2"/>
        <v>1.255927202460592E-2</v>
      </c>
      <c r="F31" s="21">
        <f>0.083333333*($D$27+$D$28)</f>
        <v>1437333.3275839998</v>
      </c>
      <c r="G31" s="22">
        <f t="shared" si="3"/>
        <v>1.3087606785256408E-2</v>
      </c>
      <c r="H31" s="21">
        <f>0.083333333*($D$27+$D$28)</f>
        <v>1437333.3275839998</v>
      </c>
      <c r="I31" s="22">
        <f t="shared" si="4"/>
        <v>1.2644345475517706E-2</v>
      </c>
      <c r="J31" s="21">
        <f>0.083333333*($D$27+$D$28)</f>
        <v>1437333.3275839998</v>
      </c>
      <c r="K31" s="22">
        <f t="shared" si="5"/>
        <v>1.2649241640271053E-2</v>
      </c>
      <c r="L31" s="21">
        <f>0.083333333*($D$27+$D$28)</f>
        <v>1437333.3275839998</v>
      </c>
      <c r="M31" s="22">
        <f t="shared" si="6"/>
        <v>1.2230125996256083E-2</v>
      </c>
      <c r="N31" s="21">
        <f>0.083333333*($D$27+$D$28)</f>
        <v>1437333.3275839998</v>
      </c>
      <c r="O31" s="22">
        <f t="shared" si="7"/>
        <v>1.2893888508387604E-2</v>
      </c>
      <c r="P31" s="21">
        <f>0.083333333*($D$27+$D$28)</f>
        <v>1437333.3275839998</v>
      </c>
      <c r="Q31" s="22">
        <f t="shared" si="8"/>
        <v>1.2523161409239024E-2</v>
      </c>
      <c r="R31" s="21">
        <f>0.083333333*($D$27+$D$28)</f>
        <v>1437333.3275839998</v>
      </c>
      <c r="S31" s="22">
        <f t="shared" si="9"/>
        <v>1.2523161409239024E-2</v>
      </c>
      <c r="T31" s="21">
        <f>0.083333333*($D$27+$D$28)</f>
        <v>1437333.3275839998</v>
      </c>
      <c r="U31" s="22">
        <f t="shared" si="10"/>
        <v>1.2805435725597803E-2</v>
      </c>
      <c r="V31" s="21">
        <f>0.083333333*($D$27+$D$28)</f>
        <v>1437333.3275839998</v>
      </c>
      <c r="W31" s="22">
        <f t="shared" si="11"/>
        <v>1.1976779664894591E-2</v>
      </c>
      <c r="X31" s="21">
        <f>0.083333333*($D$27+$D$28)</f>
        <v>1437333.3275839998</v>
      </c>
      <c r="Y31" s="22">
        <f t="shared" si="12"/>
        <v>1.4064181725684671E-2</v>
      </c>
      <c r="Z31" s="21">
        <f>0.083333333*($D$27+$D$28)</f>
        <v>1437333.3275839998</v>
      </c>
      <c r="AA31" s="22">
        <f t="shared" si="13"/>
        <v>1.3037693961152992E-2</v>
      </c>
      <c r="AB31" s="23">
        <f t="shared" si="1"/>
        <v>17248000.070965204</v>
      </c>
    </row>
    <row r="32" spans="2:28" ht="11.15" customHeight="1" x14ac:dyDescent="0.25">
      <c r="B32" s="19" t="s">
        <v>23</v>
      </c>
      <c r="C32" s="20"/>
      <c r="D32" s="21">
        <f>0.0416667*($D$27+$D$28)</f>
        <v>718667.24160000007</v>
      </c>
      <c r="E32" s="22">
        <f t="shared" si="2"/>
        <v>6.279641061130335E-3</v>
      </c>
      <c r="F32" s="21">
        <f>0.0416667*($D$27+$D$28)</f>
        <v>718667.24160000007</v>
      </c>
      <c r="G32" s="22">
        <f t="shared" si="3"/>
        <v>6.5438086538461542E-3</v>
      </c>
      <c r="H32" s="21">
        <f>0.0416667*($D$27+$D$28)</f>
        <v>718667.24160000007</v>
      </c>
      <c r="I32" s="22">
        <f t="shared" si="4"/>
        <v>6.3221778207857562E-3</v>
      </c>
      <c r="J32" s="21">
        <f>0.0416667*($D$27+$D$28)</f>
        <v>718667.24160000007</v>
      </c>
      <c r="K32" s="22">
        <f t="shared" si="5"/>
        <v>6.3246259051306878E-3</v>
      </c>
      <c r="L32" s="21">
        <f>0.0416667*($D$27+$D$28)</f>
        <v>718667.24160000007</v>
      </c>
      <c r="M32" s="22">
        <f t="shared" si="6"/>
        <v>6.1150679146387129E-3</v>
      </c>
      <c r="N32" s="21">
        <f>0.0416667*($D$27+$D$28)</f>
        <v>718667.24160000007</v>
      </c>
      <c r="O32" s="22">
        <f t="shared" si="7"/>
        <v>6.4469494375370045E-3</v>
      </c>
      <c r="P32" s="21">
        <f>0.0416667*($D$27+$D$28)</f>
        <v>718667.24160000007</v>
      </c>
      <c r="Q32" s="22">
        <f t="shared" si="8"/>
        <v>6.2615857389304204E-3</v>
      </c>
      <c r="R32" s="21">
        <f>0.0416667*($D$27+$D$28)</f>
        <v>718667.24160000007</v>
      </c>
      <c r="S32" s="22">
        <f t="shared" si="9"/>
        <v>6.2615857389304204E-3</v>
      </c>
      <c r="T32" s="21">
        <f>0.0416667*($D$27+$D$28)</f>
        <v>718667.24160000007</v>
      </c>
      <c r="U32" s="22">
        <f t="shared" si="10"/>
        <v>6.4027230105840856E-3</v>
      </c>
      <c r="V32" s="21">
        <f>0.0416667*($D$27+$D$28)</f>
        <v>718667.24160000007</v>
      </c>
      <c r="W32" s="22">
        <f t="shared" si="11"/>
        <v>5.9883946471127412E-3</v>
      </c>
      <c r="X32" s="21">
        <f>0.0416667*($D$27+$D$28)</f>
        <v>718667.24160000007</v>
      </c>
      <c r="Y32" s="22">
        <f t="shared" si="12"/>
        <v>7.0320965166434128E-3</v>
      </c>
      <c r="Z32" s="21">
        <f>0.0416667*($D$27+$D$28)</f>
        <v>718667.24160000007</v>
      </c>
      <c r="AA32" s="22">
        <f t="shared" si="13"/>
        <v>6.5188522217294901E-3</v>
      </c>
      <c r="AB32" s="23">
        <f t="shared" si="1"/>
        <v>8624006.9691786561</v>
      </c>
    </row>
    <row r="33" spans="1:28" ht="11.15" customHeight="1" x14ac:dyDescent="0.25">
      <c r="B33" s="19" t="s">
        <v>24</v>
      </c>
      <c r="C33" s="20"/>
      <c r="D33" s="21">
        <f>0.00522*(D27+D28)</f>
        <v>90034.559999999998</v>
      </c>
      <c r="E33" s="22">
        <f t="shared" si="2"/>
        <v>7.8671280276816603E-4</v>
      </c>
      <c r="F33" s="21">
        <f>0.00522*(F27+F28)</f>
        <v>90034.559999999998</v>
      </c>
      <c r="G33" s="22">
        <f t="shared" si="3"/>
        <v>8.1980769230769227E-4</v>
      </c>
      <c r="H33" s="21">
        <f>0.00522*(H27+H28)</f>
        <v>90034.559999999998</v>
      </c>
      <c r="I33" s="22">
        <f t="shared" si="4"/>
        <v>7.9204180375459646E-4</v>
      </c>
      <c r="J33" s="21">
        <f>0.00522*(J27+J28)</f>
        <v>90034.559999999998</v>
      </c>
      <c r="K33" s="22">
        <f t="shared" si="5"/>
        <v>7.9234849951597287E-4</v>
      </c>
      <c r="L33" s="21">
        <f>0.00522*(L27+L28)</f>
        <v>90034.559999999998</v>
      </c>
      <c r="M33" s="22">
        <f t="shared" si="6"/>
        <v>7.6609509546986146E-4</v>
      </c>
      <c r="N33" s="21">
        <f>0.00522*(N27+N28)</f>
        <v>90034.559999999998</v>
      </c>
      <c r="O33" s="22">
        <f t="shared" si="7"/>
        <v>8.0767317939609235E-4</v>
      </c>
      <c r="P33" s="21">
        <f>0.00522*(P27+P28)</f>
        <v>90034.559999999998</v>
      </c>
      <c r="Q33" s="22">
        <f t="shared" si="8"/>
        <v>7.8445083381253596E-4</v>
      </c>
      <c r="R33" s="21">
        <f>0.00522*(R27+R28)</f>
        <v>90034.559999999998</v>
      </c>
      <c r="S33" s="22">
        <f t="shared" si="9"/>
        <v>7.8445083381253596E-4</v>
      </c>
      <c r="T33" s="21">
        <f>0.00522*(T27+T28)</f>
        <v>90034.559999999998</v>
      </c>
      <c r="U33" s="22">
        <f t="shared" si="10"/>
        <v>8.0213249705997651E-4</v>
      </c>
      <c r="V33" s="21">
        <f>0.00522*(V27+V28)</f>
        <v>90034.559999999998</v>
      </c>
      <c r="W33" s="22">
        <f t="shared" si="11"/>
        <v>7.5022548120989917E-4</v>
      </c>
      <c r="X33" s="21">
        <f>0.00522*(X27+X28)</f>
        <v>90034.559999999998</v>
      </c>
      <c r="Y33" s="22">
        <f t="shared" si="12"/>
        <v>8.8098034682080923E-4</v>
      </c>
      <c r="Z33" s="21">
        <f>0.00522*(Z27+Z28)</f>
        <v>90034.559999999998</v>
      </c>
      <c r="AA33" s="22">
        <f t="shared" si="13"/>
        <v>8.1668115299334812E-4</v>
      </c>
      <c r="AB33" s="23">
        <f t="shared" si="1"/>
        <v>1080414.7287669193</v>
      </c>
    </row>
    <row r="34" spans="1:28" ht="11.15" customHeight="1" x14ac:dyDescent="0.25">
      <c r="B34" s="19" t="s">
        <v>25</v>
      </c>
      <c r="C34" s="20"/>
      <c r="D34" s="21">
        <f>0.08*(D27+D28)</f>
        <v>1379840</v>
      </c>
      <c r="E34" s="22">
        <f t="shared" si="2"/>
        <v>1.2056901191849288E-2</v>
      </c>
      <c r="F34" s="21">
        <f>0.08*(F27+F28)</f>
        <v>1379840</v>
      </c>
      <c r="G34" s="22">
        <f t="shared" si="3"/>
        <v>1.2564102564102564E-2</v>
      </c>
      <c r="H34" s="21">
        <f>0.08*(H27+H28)</f>
        <v>1379840</v>
      </c>
      <c r="I34" s="22">
        <f t="shared" si="4"/>
        <v>1.2138571705051287E-2</v>
      </c>
      <c r="J34" s="21">
        <f>0.08*(J27+J28)</f>
        <v>1379840</v>
      </c>
      <c r="K34" s="22">
        <f t="shared" si="5"/>
        <v>1.2143272023233301E-2</v>
      </c>
      <c r="L34" s="21">
        <f>0.08*(L27+L28)</f>
        <v>1379840</v>
      </c>
      <c r="M34" s="22">
        <f t="shared" si="6"/>
        <v>1.1740921003369525E-2</v>
      </c>
      <c r="N34" s="21">
        <f>0.08*(N27+N28)</f>
        <v>1379840</v>
      </c>
      <c r="O34" s="22">
        <f t="shared" si="7"/>
        <v>1.2378133017564633E-2</v>
      </c>
      <c r="P34" s="21">
        <f>0.08*(P27+P28)</f>
        <v>1379840</v>
      </c>
      <c r="Q34" s="22">
        <f t="shared" si="8"/>
        <v>1.2022235000958404E-2</v>
      </c>
      <c r="R34" s="21">
        <f>0.08*(R27+R28)</f>
        <v>1379840</v>
      </c>
      <c r="S34" s="22">
        <f t="shared" si="9"/>
        <v>1.2022235000958404E-2</v>
      </c>
      <c r="T34" s="21">
        <f>0.08*(T27+T28)</f>
        <v>1379840</v>
      </c>
      <c r="U34" s="22">
        <f t="shared" si="10"/>
        <v>1.2293218345746766E-2</v>
      </c>
      <c r="V34" s="21">
        <f>0.08*(V27+V28)</f>
        <v>1379840</v>
      </c>
      <c r="W34" s="22">
        <f t="shared" si="11"/>
        <v>1.1497708524289642E-2</v>
      </c>
      <c r="X34" s="21">
        <f>0.08*(X27+X28)</f>
        <v>1379840</v>
      </c>
      <c r="Y34" s="22">
        <f t="shared" si="12"/>
        <v>1.3501614510663743E-2</v>
      </c>
      <c r="Z34" s="21">
        <f>0.08*(Z27+Z28)</f>
        <v>1379840</v>
      </c>
      <c r="AA34" s="22">
        <f t="shared" si="13"/>
        <v>1.2516186252771618E-2</v>
      </c>
      <c r="AB34" s="23">
        <f t="shared" si="1"/>
        <v>16558080.134358911</v>
      </c>
    </row>
    <row r="35" spans="1:28" ht="11.15" customHeight="1" x14ac:dyDescent="0.25">
      <c r="B35" s="19" t="s">
        <v>26</v>
      </c>
      <c r="C35" s="20"/>
      <c r="D35" s="21">
        <f>0.10875*(D27+D28)</f>
        <v>1875720</v>
      </c>
      <c r="E35" s="22">
        <f t="shared" si="2"/>
        <v>1.6389850057670127E-2</v>
      </c>
      <c r="F35" s="21">
        <f>0.10875*(F27+F28)</f>
        <v>1875720</v>
      </c>
      <c r="G35" s="22">
        <f t="shared" si="3"/>
        <v>1.7079326923076923E-2</v>
      </c>
      <c r="H35" s="21">
        <f>0.10875*(H27+H28)</f>
        <v>1875720</v>
      </c>
      <c r="I35" s="22">
        <f t="shared" si="4"/>
        <v>1.6500870911554093E-2</v>
      </c>
      <c r="J35" s="21">
        <f>0.10875*(J27+J28)</f>
        <v>1875720</v>
      </c>
      <c r="K35" s="22">
        <f t="shared" si="5"/>
        <v>1.650726040658277E-2</v>
      </c>
      <c r="L35" s="21">
        <f>0.10875*(L27+L28)</f>
        <v>1875720</v>
      </c>
      <c r="M35" s="22">
        <f t="shared" si="6"/>
        <v>1.5960314488955449E-2</v>
      </c>
      <c r="N35" s="21">
        <f>0.10875*(N27+N28)</f>
        <v>1875720</v>
      </c>
      <c r="O35" s="22">
        <f t="shared" si="7"/>
        <v>1.6826524570751924E-2</v>
      </c>
      <c r="P35" s="21">
        <f>0.10875*(P27+P28)</f>
        <v>1875720</v>
      </c>
      <c r="Q35" s="22">
        <f t="shared" si="8"/>
        <v>1.6342725704427831E-2</v>
      </c>
      <c r="R35" s="21">
        <f>0.10875*(R27+R28)</f>
        <v>1875720</v>
      </c>
      <c r="S35" s="22">
        <f t="shared" si="9"/>
        <v>1.6342725704427831E-2</v>
      </c>
      <c r="T35" s="21">
        <f>0.10875*(T27+T28)</f>
        <v>1875720</v>
      </c>
      <c r="U35" s="22">
        <f t="shared" si="10"/>
        <v>1.6711093688749509E-2</v>
      </c>
      <c r="V35" s="21">
        <f>0.10875*(V27+V28)</f>
        <v>1875720</v>
      </c>
      <c r="W35" s="22">
        <f t="shared" si="11"/>
        <v>1.5629697525206234E-2</v>
      </c>
      <c r="X35" s="21">
        <f>0.10875*(X27+X28)</f>
        <v>1875720</v>
      </c>
      <c r="Y35" s="22">
        <f t="shared" si="12"/>
        <v>1.8353757225433524E-2</v>
      </c>
      <c r="Z35" s="21">
        <f>0.10875*(Z27+Z28)</f>
        <v>1875720</v>
      </c>
      <c r="AA35" s="22">
        <f t="shared" si="13"/>
        <v>1.701419068736142E-2</v>
      </c>
      <c r="AB35" s="23">
        <f t="shared" si="1"/>
        <v>22508640.182644147</v>
      </c>
    </row>
    <row r="36" spans="1:28" ht="11.15" customHeight="1" x14ac:dyDescent="0.25">
      <c r="B36" s="19" t="s">
        <v>27</v>
      </c>
      <c r="C36" s="20"/>
      <c r="D36" s="21">
        <f>0.04*($D$27+$D$28)</f>
        <v>689920</v>
      </c>
      <c r="E36" s="22">
        <f t="shared" si="2"/>
        <v>6.0284505959246441E-3</v>
      </c>
      <c r="F36" s="21">
        <f>0.04*($D$27+$D$28)</f>
        <v>689920</v>
      </c>
      <c r="G36" s="22">
        <f t="shared" si="3"/>
        <v>6.2820512820512819E-3</v>
      </c>
      <c r="H36" s="21">
        <f>0.04*($D$27+$D$28)</f>
        <v>689920</v>
      </c>
      <c r="I36" s="22">
        <f t="shared" si="4"/>
        <v>6.0692858525256436E-3</v>
      </c>
      <c r="J36" s="21">
        <f>0.04*($D$27+$D$28)</f>
        <v>689920</v>
      </c>
      <c r="K36" s="22">
        <f t="shared" si="5"/>
        <v>6.0716360116166504E-3</v>
      </c>
      <c r="L36" s="21">
        <f>0.04*($D$27+$D$28)</f>
        <v>689920</v>
      </c>
      <c r="M36" s="22">
        <f t="shared" si="6"/>
        <v>5.8704605016847624E-3</v>
      </c>
      <c r="N36" s="21">
        <f>0.04*($D$27+$D$28)</f>
        <v>689920</v>
      </c>
      <c r="O36" s="22">
        <f t="shared" si="7"/>
        <v>6.1890665087823166E-3</v>
      </c>
      <c r="P36" s="21">
        <f>0.04*($D$27+$D$28)</f>
        <v>689920</v>
      </c>
      <c r="Q36" s="22">
        <f t="shared" si="8"/>
        <v>6.0111175004792022E-3</v>
      </c>
      <c r="R36" s="21">
        <f>0.04*($D$27+$D$28)</f>
        <v>689920</v>
      </c>
      <c r="S36" s="22">
        <f t="shared" si="9"/>
        <v>6.0111175004792022E-3</v>
      </c>
      <c r="T36" s="21">
        <f>0.04*($D$27+$D$28)</f>
        <v>689920</v>
      </c>
      <c r="U36" s="22">
        <f t="shared" si="10"/>
        <v>6.1466091728733831E-3</v>
      </c>
      <c r="V36" s="21">
        <f>0.04*($D$27+$D$28)</f>
        <v>689920</v>
      </c>
      <c r="W36" s="22">
        <f t="shared" si="11"/>
        <v>5.7488542621448209E-3</v>
      </c>
      <c r="X36" s="21">
        <f>0.04*($D$27+$D$28)</f>
        <v>689920</v>
      </c>
      <c r="Y36" s="22">
        <f t="shared" si="12"/>
        <v>6.7508072553318713E-3</v>
      </c>
      <c r="Z36" s="21">
        <f>0.04*($D$27+$D$28)</f>
        <v>689920</v>
      </c>
      <c r="AA36" s="22">
        <f t="shared" si="13"/>
        <v>6.2580931263858091E-3</v>
      </c>
      <c r="AB36" s="23">
        <f t="shared" si="1"/>
        <v>8279040.0671794554</v>
      </c>
    </row>
    <row r="37" spans="1:28" ht="11.15" customHeight="1" x14ac:dyDescent="0.25">
      <c r="B37" s="19" t="s">
        <v>28</v>
      </c>
      <c r="C37" s="20"/>
      <c r="D37" s="21">
        <f>0.02*($D$27+$D$28)</f>
        <v>344960</v>
      </c>
      <c r="E37" s="22">
        <f t="shared" si="2"/>
        <v>3.0142252979623221E-3</v>
      </c>
      <c r="F37" s="21">
        <f>0.02*($D$27+$D$28)</f>
        <v>344960</v>
      </c>
      <c r="G37" s="22">
        <f t="shared" si="3"/>
        <v>3.141025641025641E-3</v>
      </c>
      <c r="H37" s="21">
        <f>0.02*($D$27+$D$28)</f>
        <v>344960</v>
      </c>
      <c r="I37" s="22">
        <f t="shared" si="4"/>
        <v>3.0346429262628218E-3</v>
      </c>
      <c r="J37" s="21">
        <f>0.02*($D$27+$D$28)</f>
        <v>344960</v>
      </c>
      <c r="K37" s="22">
        <f t="shared" si="5"/>
        <v>3.0358180058083252E-3</v>
      </c>
      <c r="L37" s="21">
        <f>0.02*($D$27+$D$28)</f>
        <v>344960</v>
      </c>
      <c r="M37" s="22">
        <f t="shared" si="6"/>
        <v>2.9352302508423812E-3</v>
      </c>
      <c r="N37" s="21">
        <f>0.02*($D$27+$D$28)</f>
        <v>344960</v>
      </c>
      <c r="O37" s="22">
        <f t="shared" si="7"/>
        <v>3.0945332543911583E-3</v>
      </c>
      <c r="P37" s="21">
        <f>0.02*($D$27+$D$28)</f>
        <v>344960</v>
      </c>
      <c r="Q37" s="22">
        <f t="shared" si="8"/>
        <v>3.0055587502396011E-3</v>
      </c>
      <c r="R37" s="21">
        <f>0.02*($D$27+$D$28)</f>
        <v>344960</v>
      </c>
      <c r="S37" s="22">
        <f t="shared" si="9"/>
        <v>3.0055587502396011E-3</v>
      </c>
      <c r="T37" s="21">
        <f>0.02*($D$27+$D$28)</f>
        <v>344960</v>
      </c>
      <c r="U37" s="22">
        <f t="shared" si="10"/>
        <v>3.0733045864366915E-3</v>
      </c>
      <c r="V37" s="21">
        <f>0.02*($D$27+$D$28)</f>
        <v>344960</v>
      </c>
      <c r="W37" s="22">
        <f t="shared" si="11"/>
        <v>2.8744271310724104E-3</v>
      </c>
      <c r="X37" s="21">
        <f>0.02*($D$27+$D$28)</f>
        <v>344960</v>
      </c>
      <c r="Y37" s="22">
        <f t="shared" si="12"/>
        <v>3.3754036276659356E-3</v>
      </c>
      <c r="Z37" s="21">
        <f>0.02*($D$27+$D$28)</f>
        <v>344960</v>
      </c>
      <c r="AA37" s="22">
        <f t="shared" si="13"/>
        <v>3.1290465631929045E-3</v>
      </c>
      <c r="AB37" s="23">
        <f t="shared" si="1"/>
        <v>4139520.0335897277</v>
      </c>
    </row>
    <row r="38" spans="1:28" ht="11.15" customHeight="1" thickBot="1" x14ac:dyDescent="0.3">
      <c r="B38" s="24" t="s">
        <v>29</v>
      </c>
      <c r="C38" s="25"/>
      <c r="D38" s="26">
        <f>0.03*($D$27+$D$28)</f>
        <v>517440</v>
      </c>
      <c r="E38" s="27">
        <f t="shared" si="2"/>
        <v>4.5213379469434831E-3</v>
      </c>
      <c r="F38" s="26">
        <f>0.03*($D$27+$D$28)</f>
        <v>517440</v>
      </c>
      <c r="G38" s="27">
        <f t="shared" si="3"/>
        <v>4.7115384615384615E-3</v>
      </c>
      <c r="H38" s="26">
        <f>0.03*($D$27+$D$28)</f>
        <v>517440</v>
      </c>
      <c r="I38" s="27">
        <f t="shared" si="4"/>
        <v>4.5519643893942325E-3</v>
      </c>
      <c r="J38" s="26">
        <f>0.03*($D$27+$D$28)</f>
        <v>517440</v>
      </c>
      <c r="K38" s="27">
        <f t="shared" si="5"/>
        <v>4.5537270087124878E-3</v>
      </c>
      <c r="L38" s="26">
        <f>0.03*($D$27+$D$28)</f>
        <v>517440</v>
      </c>
      <c r="M38" s="27">
        <f t="shared" si="6"/>
        <v>4.4028453762635714E-3</v>
      </c>
      <c r="N38" s="26">
        <f>0.03*($D$27+$D$28)</f>
        <v>517440</v>
      </c>
      <c r="O38" s="27">
        <f t="shared" si="7"/>
        <v>4.6417998815867379E-3</v>
      </c>
      <c r="P38" s="26">
        <f>0.03*($D$27+$D$28)</f>
        <v>517440</v>
      </c>
      <c r="Q38" s="27">
        <f t="shared" si="8"/>
        <v>4.5083381253594023E-3</v>
      </c>
      <c r="R38" s="26">
        <f>0.03*($D$27+$D$28)</f>
        <v>517440</v>
      </c>
      <c r="S38" s="27">
        <f t="shared" si="9"/>
        <v>4.5083381253594023E-3</v>
      </c>
      <c r="T38" s="26">
        <f>0.03*($D$27+$D$28)</f>
        <v>517440</v>
      </c>
      <c r="U38" s="27">
        <f t="shared" si="10"/>
        <v>4.6099568796550373E-3</v>
      </c>
      <c r="V38" s="26">
        <f>0.03*($D$27+$D$28)</f>
        <v>517440</v>
      </c>
      <c r="W38" s="27">
        <f t="shared" si="11"/>
        <v>4.3116406966086157E-3</v>
      </c>
      <c r="X38" s="26">
        <f>0.03*($D$27+$D$28)</f>
        <v>517440</v>
      </c>
      <c r="Y38" s="27">
        <f t="shared" si="12"/>
        <v>5.0631054414989034E-3</v>
      </c>
      <c r="Z38" s="26">
        <f>0.03*($D$27+$D$28)</f>
        <v>517440</v>
      </c>
      <c r="AA38" s="27">
        <f t="shared" si="13"/>
        <v>4.6935698447893573E-3</v>
      </c>
      <c r="AB38" s="28">
        <f t="shared" si="1"/>
        <v>6209280.0503845913</v>
      </c>
    </row>
    <row r="39" spans="1:28" ht="11.15" customHeight="1" thickTop="1" x14ac:dyDescent="0.25">
      <c r="B39" s="68" t="str">
        <f>+'Presupuesto 0'!B38</f>
        <v>PAGO OFICINAS</v>
      </c>
      <c r="C39" s="74"/>
      <c r="D39" s="54">
        <f>($D5+D6+D7)*0.05</f>
        <v>5722200</v>
      </c>
      <c r="E39" s="53">
        <f>+E13*0.04</f>
        <v>0</v>
      </c>
      <c r="F39" s="54">
        <f>($D5+F6+F7)*0.05</f>
        <v>5629800</v>
      </c>
      <c r="G39" s="53">
        <f t="shared" ref="G39:AA39" si="14">+G13*$C$39</f>
        <v>0</v>
      </c>
      <c r="H39" s="54">
        <f>($D5+H6+H7)*0.05</f>
        <v>5706800</v>
      </c>
      <c r="I39" s="53">
        <f t="shared" si="14"/>
        <v>0</v>
      </c>
      <c r="J39" s="54">
        <f>($D5+J6+J7)*0.05</f>
        <v>5705920</v>
      </c>
      <c r="K39" s="53">
        <f t="shared" si="14"/>
        <v>0</v>
      </c>
      <c r="L39" s="54">
        <f>($D5+L6+L7)*0.05</f>
        <v>5783800</v>
      </c>
      <c r="M39" s="53">
        <f t="shared" si="14"/>
        <v>0</v>
      </c>
      <c r="N39" s="54">
        <f>($D5+N6+N7)*0.05</f>
        <v>5662800</v>
      </c>
      <c r="O39" s="53">
        <f t="shared" si="14"/>
        <v>0</v>
      </c>
      <c r="P39" s="54">
        <f>($D5+P6+P7)*0.05</f>
        <v>5728800</v>
      </c>
      <c r="Q39" s="53">
        <f t="shared" si="14"/>
        <v>0</v>
      </c>
      <c r="R39" s="54">
        <f>($D5+R6+R7)*0.05</f>
        <v>5728800</v>
      </c>
      <c r="S39" s="53">
        <f t="shared" si="14"/>
        <v>0</v>
      </c>
      <c r="T39" s="54">
        <f>($D5+T6+T7)*0.05</f>
        <v>5678200</v>
      </c>
      <c r="U39" s="53">
        <f t="shared" si="14"/>
        <v>0</v>
      </c>
      <c r="V39" s="54">
        <f>($D5+V6+V7)*0.05</f>
        <v>5833520</v>
      </c>
      <c r="W39" s="53">
        <f t="shared" si="14"/>
        <v>0</v>
      </c>
      <c r="X39" s="54">
        <f>($D5+X6+X7)*0.05</f>
        <v>5477282.9629629627</v>
      </c>
      <c r="Y39" s="53">
        <f t="shared" si="14"/>
        <v>0</v>
      </c>
      <c r="Z39" s="54">
        <f>($D5+Z6+Z7)*0.05</f>
        <v>5638208.8888888899</v>
      </c>
      <c r="AA39" s="42">
        <f t="shared" si="14"/>
        <v>0</v>
      </c>
      <c r="AB39" s="43">
        <f>+D39+F39+H39+J39+L39+P39+R39+T39+V39+X39+Z39+N39</f>
        <v>68296131.851851851</v>
      </c>
    </row>
    <row r="40" spans="1:28" ht="11.15" customHeight="1" x14ac:dyDescent="0.25">
      <c r="B40" s="69" t="s">
        <v>30</v>
      </c>
      <c r="C40" s="56"/>
      <c r="D40" s="54">
        <f>(D5+D6+D7)*0.01</f>
        <v>1144440</v>
      </c>
      <c r="E40" s="44">
        <f>D40/D$13</f>
        <v>0.01</v>
      </c>
      <c r="F40" s="54">
        <f>(F5+F6+F7)*0.01</f>
        <v>1098240</v>
      </c>
      <c r="G40" s="44">
        <f>F40/F$13</f>
        <v>0.01</v>
      </c>
      <c r="H40" s="54">
        <f>(H5+H6+H7)*0.01</f>
        <v>1136740</v>
      </c>
      <c r="I40" s="44">
        <f>H40/H$13</f>
        <v>0.01</v>
      </c>
      <c r="J40" s="54">
        <f>(J5+J6+J7)*0.01</f>
        <v>1136300</v>
      </c>
      <c r="K40" s="44">
        <f>J40/J$13</f>
        <v>0.01</v>
      </c>
      <c r="L40" s="54">
        <f>(L5+L6+L7)*0.01</f>
        <v>1175240</v>
      </c>
      <c r="M40" s="44">
        <f>L40/L$13</f>
        <v>0.01</v>
      </c>
      <c r="N40" s="54">
        <f>(N5+N6+N7)*0.01</f>
        <v>1114740</v>
      </c>
      <c r="O40" s="44">
        <f>N40/N$13</f>
        <v>0.01</v>
      </c>
      <c r="P40" s="54">
        <f>(P5+P6+P7)*0.01</f>
        <v>1147740</v>
      </c>
      <c r="Q40" s="44">
        <f>P40/P$13</f>
        <v>0.01</v>
      </c>
      <c r="R40" s="54">
        <f>(R5+R6+R7)*0.01</f>
        <v>1147740</v>
      </c>
      <c r="S40" s="44">
        <f>R40/R$13</f>
        <v>0.01</v>
      </c>
      <c r="T40" s="54">
        <f>(T5+T6+T7)*0.01</f>
        <v>1122440</v>
      </c>
      <c r="U40" s="44">
        <f>T40/T$13</f>
        <v>0.01</v>
      </c>
      <c r="V40" s="54">
        <f>(V5+V6+V7)*0.01</f>
        <v>1200100</v>
      </c>
      <c r="W40" s="44">
        <f>V40/V$13</f>
        <v>0.01</v>
      </c>
      <c r="X40" s="54">
        <f>(X5+X6+X7)*0.01</f>
        <v>1021981.4814814815</v>
      </c>
      <c r="Y40" s="44">
        <f>X40/X$13</f>
        <v>0.01</v>
      </c>
      <c r="Z40" s="54">
        <f>(Z5+Z6+Z7)*0.01</f>
        <v>1102444.4444444445</v>
      </c>
      <c r="AA40" s="44">
        <f t="shared" si="13"/>
        <v>0.01</v>
      </c>
      <c r="AB40" s="43">
        <f>+D40+F40+H40+J40+L40+P40+R40+T40+V40+X40+Z40+N40</f>
        <v>13548145.925925925</v>
      </c>
    </row>
    <row r="41" spans="1:28" ht="11.15" customHeight="1" x14ac:dyDescent="0.25">
      <c r="B41" s="69" t="s">
        <v>31</v>
      </c>
      <c r="C41" s="56"/>
      <c r="D41" s="54">
        <f>(D5+D6+D7)*0.0025</f>
        <v>286110</v>
      </c>
      <c r="E41" s="44"/>
      <c r="F41" s="54">
        <f>(F5+F6+F7)*0.0025</f>
        <v>274560</v>
      </c>
      <c r="G41" s="44"/>
      <c r="H41" s="54">
        <f>(H5+H6+H7)*0.0025</f>
        <v>284185</v>
      </c>
      <c r="I41" s="44"/>
      <c r="J41" s="54">
        <f>(J5+J6+J7)*0.0025</f>
        <v>284075</v>
      </c>
      <c r="K41" s="44"/>
      <c r="L41" s="54">
        <f>(L5+L6+L7)*0.0025</f>
        <v>293810</v>
      </c>
      <c r="M41" s="44"/>
      <c r="N41" s="54">
        <f>(N5+N6+N7)*0.0025</f>
        <v>278685</v>
      </c>
      <c r="O41" s="44"/>
      <c r="P41" s="54">
        <f>(P5+P6+P7)*0.0025</f>
        <v>286935</v>
      </c>
      <c r="Q41" s="44"/>
      <c r="R41" s="54">
        <f>(R5+R6+R7)*0.0025</f>
        <v>286935</v>
      </c>
      <c r="S41" s="44"/>
      <c r="T41" s="54">
        <f>(T5+T6+T7)*0.0025</f>
        <v>280610</v>
      </c>
      <c r="U41" s="44"/>
      <c r="V41" s="54">
        <f>(V5+V6+V7)*0.0025</f>
        <v>300025</v>
      </c>
      <c r="W41" s="44"/>
      <c r="X41" s="54">
        <f>(X5+X6+X7)*0.0025</f>
        <v>255495.37037037036</v>
      </c>
      <c r="Y41" s="44"/>
      <c r="Z41" s="54">
        <f>(Z5+Z6+Z7)*0.0025</f>
        <v>275611.11111111112</v>
      </c>
      <c r="AA41" s="44">
        <f t="shared" si="13"/>
        <v>2.5000000000000001E-3</v>
      </c>
      <c r="AB41" s="54">
        <f>(AB6+AB7+AB5)*0.0025</f>
        <v>3387036.4814814813</v>
      </c>
    </row>
    <row r="42" spans="1:28" ht="11.15" customHeight="1" x14ac:dyDescent="0.25">
      <c r="A42" s="107" t="s">
        <v>66</v>
      </c>
      <c r="B42" s="69" t="s">
        <v>32</v>
      </c>
      <c r="C42" s="56"/>
      <c r="D42" s="54">
        <f>+Nómina!$D$51</f>
        <v>7140000</v>
      </c>
      <c r="E42" s="54">
        <v>1000000</v>
      </c>
      <c r="F42" s="54">
        <f>+Nómina!$D$51</f>
        <v>7140000</v>
      </c>
      <c r="G42" s="54">
        <v>1000000</v>
      </c>
      <c r="H42" s="54">
        <f>+Nómina!$D$51</f>
        <v>7140000</v>
      </c>
      <c r="I42" s="54">
        <v>1000000</v>
      </c>
      <c r="J42" s="54">
        <f>+Nómina!$D$51</f>
        <v>7140000</v>
      </c>
      <c r="K42" s="54">
        <v>1000000</v>
      </c>
      <c r="L42" s="54">
        <f>+Nómina!$D$51</f>
        <v>7140000</v>
      </c>
      <c r="M42" s="54">
        <v>1000000</v>
      </c>
      <c r="N42" s="54">
        <f>+Nómina!$D$51</f>
        <v>7140000</v>
      </c>
      <c r="O42" s="54">
        <v>1000000</v>
      </c>
      <c r="P42" s="54">
        <f>+Nómina!$D$51</f>
        <v>7140000</v>
      </c>
      <c r="Q42" s="54">
        <v>1000000</v>
      </c>
      <c r="R42" s="54">
        <f>+Nómina!$D$51</f>
        <v>7140000</v>
      </c>
      <c r="S42" s="54">
        <v>1000000</v>
      </c>
      <c r="T42" s="54">
        <f>+Nómina!$D$51</f>
        <v>7140000</v>
      </c>
      <c r="U42" s="54">
        <v>1000000</v>
      </c>
      <c r="V42" s="54">
        <f>+Nómina!$D$51</f>
        <v>7140000</v>
      </c>
      <c r="W42" s="54">
        <v>1000000</v>
      </c>
      <c r="X42" s="54">
        <f>+Nómina!$D$51</f>
        <v>7140000</v>
      </c>
      <c r="Y42" s="54">
        <v>1000000</v>
      </c>
      <c r="Z42" s="54">
        <f>+Nómina!$D$51</f>
        <v>7140000</v>
      </c>
      <c r="AA42" s="44">
        <f t="shared" si="13"/>
        <v>6.4765168312840155E-2</v>
      </c>
      <c r="AB42" s="43">
        <f>+D42+F42+H42+J42+L42+P42+R42+T42+V42+X42+Z42+N42</f>
        <v>85680000</v>
      </c>
    </row>
    <row r="43" spans="1:28" ht="11.15" hidden="1" customHeight="1" x14ac:dyDescent="0.25">
      <c r="A43" s="108"/>
      <c r="B43" s="69" t="s">
        <v>33</v>
      </c>
      <c r="C43" s="56"/>
      <c r="D43" s="54"/>
      <c r="E43" s="44"/>
      <c r="F43" s="54"/>
      <c r="G43" s="44"/>
      <c r="H43" s="54"/>
      <c r="I43" s="44"/>
      <c r="J43" s="54"/>
      <c r="K43" s="44"/>
      <c r="L43" s="54"/>
      <c r="M43" s="44"/>
      <c r="N43" s="54"/>
      <c r="O43" s="44"/>
      <c r="P43" s="54"/>
      <c r="Q43" s="44"/>
      <c r="R43" s="54"/>
      <c r="S43" s="44"/>
      <c r="T43" s="54"/>
      <c r="U43" s="44"/>
      <c r="V43" s="54"/>
      <c r="W43" s="44"/>
      <c r="X43" s="54"/>
      <c r="Y43" s="44"/>
      <c r="Z43" s="54"/>
      <c r="AA43" s="44">
        <f t="shared" si="13"/>
        <v>0</v>
      </c>
      <c r="AB43" s="43">
        <f t="shared" ref="AB43:AB56" si="15">+D43+F43+H43+J43+L43+P43+R43+T43+V43+X43+Z43+N43</f>
        <v>0</v>
      </c>
    </row>
    <row r="44" spans="1:28" ht="11.15" customHeight="1" x14ac:dyDescent="0.25">
      <c r="A44" s="108"/>
      <c r="B44" s="69" t="s">
        <v>34</v>
      </c>
      <c r="C44" s="56"/>
      <c r="D44" s="54">
        <f>+Nómina!$D$52</f>
        <v>400000</v>
      </c>
      <c r="E44" s="44" t="e">
        <f t="shared" ref="E44:E56" si="16">D44/D$12</f>
        <v>#DIV/0!</v>
      </c>
      <c r="F44" s="54">
        <f>+Nómina!$D$52</f>
        <v>400000</v>
      </c>
      <c r="G44" s="44" t="e">
        <f t="shared" ref="G44:G56" si="17">F44/F$12</f>
        <v>#DIV/0!</v>
      </c>
      <c r="H44" s="54">
        <f>+Nómina!$D$52</f>
        <v>400000</v>
      </c>
      <c r="I44" s="44" t="e">
        <f t="shared" ref="I44:I56" si="18">H44/H$12</f>
        <v>#DIV/0!</v>
      </c>
      <c r="J44" s="54">
        <f>+Nómina!$D$52</f>
        <v>400000</v>
      </c>
      <c r="K44" s="44" t="e">
        <f t="shared" ref="K44:K56" si="19">J44/J$12</f>
        <v>#DIV/0!</v>
      </c>
      <c r="L44" s="54">
        <f>+Nómina!$D$52</f>
        <v>400000</v>
      </c>
      <c r="M44" s="44" t="e">
        <f t="shared" ref="M44:M56" si="20">L44/L$12</f>
        <v>#DIV/0!</v>
      </c>
      <c r="N44" s="54">
        <f>+Nómina!$D$52</f>
        <v>400000</v>
      </c>
      <c r="O44" s="44" t="e">
        <f t="shared" ref="O44:O56" si="21">N44/N$12</f>
        <v>#DIV/0!</v>
      </c>
      <c r="P44" s="54">
        <f>+Nómina!$D$52</f>
        <v>400000</v>
      </c>
      <c r="Q44" s="44" t="e">
        <f t="shared" ref="Q44:Q56" si="22">P44/P$12</f>
        <v>#DIV/0!</v>
      </c>
      <c r="R44" s="54">
        <f>+Nómina!$D$52</f>
        <v>400000</v>
      </c>
      <c r="S44" s="44" t="e">
        <f t="shared" ref="S44:S56" si="23">R44/R$12</f>
        <v>#DIV/0!</v>
      </c>
      <c r="T44" s="54">
        <f>+Nómina!$D$52</f>
        <v>400000</v>
      </c>
      <c r="U44" s="44" t="e">
        <f t="shared" ref="U44:U56" si="24">T44/T$12</f>
        <v>#DIV/0!</v>
      </c>
      <c r="V44" s="54">
        <f>+Nómina!$D$52</f>
        <v>400000</v>
      </c>
      <c r="W44" s="44" t="e">
        <f t="shared" ref="W44:W56" si="25">V44/V$12</f>
        <v>#DIV/0!</v>
      </c>
      <c r="X44" s="54">
        <f>+Nómina!$D$52</f>
        <v>400000</v>
      </c>
      <c r="Y44" s="44" t="e">
        <f t="shared" ref="Y44:Y56" si="26">X44/X$12</f>
        <v>#DIV/0!</v>
      </c>
      <c r="Z44" s="54">
        <f>+Nómina!$D$52</f>
        <v>400000</v>
      </c>
      <c r="AA44" s="44">
        <f t="shared" si="13"/>
        <v>3.6283007458173754E-3</v>
      </c>
      <c r="AB44" s="43">
        <f t="shared" si="15"/>
        <v>4800000</v>
      </c>
    </row>
    <row r="45" spans="1:28" ht="11.15" hidden="1" customHeight="1" x14ac:dyDescent="0.25">
      <c r="A45" s="108"/>
      <c r="B45" s="69" t="s">
        <v>35</v>
      </c>
      <c r="C45" s="56"/>
      <c r="D45" s="54"/>
      <c r="E45" s="44" t="e">
        <f t="shared" si="16"/>
        <v>#DIV/0!</v>
      </c>
      <c r="F45" s="54"/>
      <c r="G45" s="44" t="e">
        <f t="shared" si="17"/>
        <v>#DIV/0!</v>
      </c>
      <c r="H45" s="54"/>
      <c r="I45" s="44" t="e">
        <f t="shared" si="18"/>
        <v>#DIV/0!</v>
      </c>
      <c r="J45" s="54"/>
      <c r="K45" s="44" t="e">
        <f t="shared" si="19"/>
        <v>#DIV/0!</v>
      </c>
      <c r="L45" s="54"/>
      <c r="M45" s="44" t="e">
        <f t="shared" si="20"/>
        <v>#DIV/0!</v>
      </c>
      <c r="N45" s="54"/>
      <c r="O45" s="44" t="e">
        <f t="shared" si="21"/>
        <v>#DIV/0!</v>
      </c>
      <c r="P45" s="54"/>
      <c r="Q45" s="44" t="e">
        <f t="shared" si="22"/>
        <v>#DIV/0!</v>
      </c>
      <c r="R45" s="54"/>
      <c r="S45" s="44" t="e">
        <f t="shared" si="23"/>
        <v>#DIV/0!</v>
      </c>
      <c r="T45" s="54"/>
      <c r="U45" s="44" t="e">
        <f t="shared" si="24"/>
        <v>#DIV/0!</v>
      </c>
      <c r="V45" s="54"/>
      <c r="W45" s="44" t="e">
        <f t="shared" si="25"/>
        <v>#DIV/0!</v>
      </c>
      <c r="X45" s="54"/>
      <c r="Y45" s="44" t="e">
        <f t="shared" si="26"/>
        <v>#DIV/0!</v>
      </c>
      <c r="Z45" s="54"/>
      <c r="AA45" s="44">
        <f t="shared" si="13"/>
        <v>0</v>
      </c>
      <c r="AB45" s="43">
        <f t="shared" si="15"/>
        <v>0</v>
      </c>
    </row>
    <row r="46" spans="1:28" ht="11.15" hidden="1" customHeight="1" x14ac:dyDescent="0.25">
      <c r="A46" s="108"/>
      <c r="B46" s="70" t="s">
        <v>36</v>
      </c>
      <c r="C46" s="57"/>
      <c r="D46" s="54"/>
      <c r="E46" s="44" t="e">
        <f t="shared" si="16"/>
        <v>#DIV/0!</v>
      </c>
      <c r="F46" s="54"/>
      <c r="G46" s="44" t="e">
        <f t="shared" si="17"/>
        <v>#DIV/0!</v>
      </c>
      <c r="H46" s="54"/>
      <c r="I46" s="44" t="e">
        <f t="shared" si="18"/>
        <v>#DIV/0!</v>
      </c>
      <c r="J46" s="54"/>
      <c r="K46" s="44" t="e">
        <f t="shared" si="19"/>
        <v>#DIV/0!</v>
      </c>
      <c r="L46" s="54"/>
      <c r="M46" s="44" t="e">
        <f t="shared" si="20"/>
        <v>#DIV/0!</v>
      </c>
      <c r="N46" s="54"/>
      <c r="O46" s="44" t="e">
        <f t="shared" si="21"/>
        <v>#DIV/0!</v>
      </c>
      <c r="P46" s="54"/>
      <c r="Q46" s="44" t="e">
        <f t="shared" si="22"/>
        <v>#DIV/0!</v>
      </c>
      <c r="R46" s="54"/>
      <c r="S46" s="44" t="e">
        <f t="shared" si="23"/>
        <v>#DIV/0!</v>
      </c>
      <c r="T46" s="54"/>
      <c r="U46" s="44" t="e">
        <f t="shared" si="24"/>
        <v>#DIV/0!</v>
      </c>
      <c r="V46" s="54"/>
      <c r="W46" s="44" t="e">
        <f t="shared" si="25"/>
        <v>#DIV/0!</v>
      </c>
      <c r="X46" s="54"/>
      <c r="Y46" s="44" t="e">
        <f t="shared" si="26"/>
        <v>#DIV/0!</v>
      </c>
      <c r="Z46" s="54"/>
      <c r="AA46" s="44">
        <f t="shared" si="13"/>
        <v>0</v>
      </c>
      <c r="AB46" s="43">
        <f t="shared" si="15"/>
        <v>0</v>
      </c>
    </row>
    <row r="47" spans="1:28" ht="11.15" customHeight="1" x14ac:dyDescent="0.25">
      <c r="A47" s="108"/>
      <c r="B47" s="69" t="s">
        <v>37</v>
      </c>
      <c r="C47" s="56"/>
      <c r="D47" s="54">
        <f>+Nómina!$D$51</f>
        <v>7140000</v>
      </c>
      <c r="E47" s="44" t="e">
        <f t="shared" si="16"/>
        <v>#DIV/0!</v>
      </c>
      <c r="F47" s="54">
        <f>+Nómina!$D$51</f>
        <v>7140000</v>
      </c>
      <c r="G47" s="44" t="e">
        <f t="shared" si="17"/>
        <v>#DIV/0!</v>
      </c>
      <c r="H47" s="54">
        <f>+Nómina!$D$51</f>
        <v>7140000</v>
      </c>
      <c r="I47" s="44" t="e">
        <f t="shared" si="18"/>
        <v>#DIV/0!</v>
      </c>
      <c r="J47" s="54">
        <f>+Nómina!$D$51</f>
        <v>7140000</v>
      </c>
      <c r="K47" s="44" t="e">
        <f t="shared" si="19"/>
        <v>#DIV/0!</v>
      </c>
      <c r="L47" s="54">
        <f>+Nómina!$D$51</f>
        <v>7140000</v>
      </c>
      <c r="M47" s="44" t="e">
        <f t="shared" si="20"/>
        <v>#DIV/0!</v>
      </c>
      <c r="N47" s="54">
        <f>+Nómina!$D$51</f>
        <v>7140000</v>
      </c>
      <c r="O47" s="44" t="e">
        <f t="shared" si="21"/>
        <v>#DIV/0!</v>
      </c>
      <c r="P47" s="54">
        <f>+Nómina!$D$51</f>
        <v>7140000</v>
      </c>
      <c r="Q47" s="44" t="e">
        <f t="shared" si="22"/>
        <v>#DIV/0!</v>
      </c>
      <c r="R47" s="54">
        <f>+Nómina!$D$51</f>
        <v>7140000</v>
      </c>
      <c r="S47" s="44" t="e">
        <f t="shared" si="23"/>
        <v>#DIV/0!</v>
      </c>
      <c r="T47" s="54">
        <f>+Nómina!$D$51</f>
        <v>7140000</v>
      </c>
      <c r="U47" s="44" t="e">
        <f t="shared" si="24"/>
        <v>#DIV/0!</v>
      </c>
      <c r="V47" s="54">
        <f>+Nómina!$D$51</f>
        <v>7140000</v>
      </c>
      <c r="W47" s="44" t="e">
        <f t="shared" si="25"/>
        <v>#DIV/0!</v>
      </c>
      <c r="X47" s="54">
        <f>+Nómina!$D$51</f>
        <v>7140000</v>
      </c>
      <c r="Y47" s="44" t="e">
        <f t="shared" si="26"/>
        <v>#DIV/0!</v>
      </c>
      <c r="Z47" s="54">
        <f>+Nómina!$D$51</f>
        <v>7140000</v>
      </c>
      <c r="AA47" s="44">
        <f t="shared" si="13"/>
        <v>6.4765168312840155E-2</v>
      </c>
      <c r="AB47" s="43">
        <f t="shared" si="15"/>
        <v>85680000</v>
      </c>
    </row>
    <row r="48" spans="1:28" ht="11.15" customHeight="1" x14ac:dyDescent="0.25">
      <c r="A48" s="108"/>
      <c r="B48" s="69" t="s">
        <v>38</v>
      </c>
      <c r="C48" s="56"/>
      <c r="D48" s="54">
        <f>+Nómina!$D$52</f>
        <v>400000</v>
      </c>
      <c r="E48" s="44" t="e">
        <f t="shared" si="16"/>
        <v>#DIV/0!</v>
      </c>
      <c r="F48" s="54">
        <f>+Nómina!$D$52</f>
        <v>400000</v>
      </c>
      <c r="G48" s="44" t="e">
        <f t="shared" si="17"/>
        <v>#DIV/0!</v>
      </c>
      <c r="H48" s="54">
        <f>+Nómina!$D$52</f>
        <v>400000</v>
      </c>
      <c r="I48" s="44" t="e">
        <f t="shared" si="18"/>
        <v>#DIV/0!</v>
      </c>
      <c r="J48" s="54">
        <f>+Nómina!$D$52</f>
        <v>400000</v>
      </c>
      <c r="K48" s="44" t="e">
        <f t="shared" si="19"/>
        <v>#DIV/0!</v>
      </c>
      <c r="L48" s="54">
        <f>+Nómina!$D$52</f>
        <v>400000</v>
      </c>
      <c r="M48" s="44" t="e">
        <f t="shared" si="20"/>
        <v>#DIV/0!</v>
      </c>
      <c r="N48" s="54">
        <f>+Nómina!$D$52</f>
        <v>400000</v>
      </c>
      <c r="O48" s="44" t="e">
        <f t="shared" si="21"/>
        <v>#DIV/0!</v>
      </c>
      <c r="P48" s="54">
        <f>+Nómina!$D$52</f>
        <v>400000</v>
      </c>
      <c r="Q48" s="44" t="e">
        <f t="shared" si="22"/>
        <v>#DIV/0!</v>
      </c>
      <c r="R48" s="54">
        <f>+Nómina!$D$52</f>
        <v>400000</v>
      </c>
      <c r="S48" s="44" t="e">
        <f t="shared" si="23"/>
        <v>#DIV/0!</v>
      </c>
      <c r="T48" s="54">
        <f>+Nómina!$D$52</f>
        <v>400000</v>
      </c>
      <c r="U48" s="44" t="e">
        <f t="shared" si="24"/>
        <v>#DIV/0!</v>
      </c>
      <c r="V48" s="54">
        <f>+Nómina!$D$52</f>
        <v>400000</v>
      </c>
      <c r="W48" s="44" t="e">
        <f t="shared" si="25"/>
        <v>#DIV/0!</v>
      </c>
      <c r="X48" s="54">
        <f>+Nómina!$D$52</f>
        <v>400000</v>
      </c>
      <c r="Y48" s="44" t="e">
        <f t="shared" si="26"/>
        <v>#DIV/0!</v>
      </c>
      <c r="Z48" s="54">
        <f>+Nómina!$D$52</f>
        <v>400000</v>
      </c>
      <c r="AA48" s="44">
        <f t="shared" si="13"/>
        <v>3.6283007458173754E-3</v>
      </c>
      <c r="AB48" s="43">
        <f t="shared" si="15"/>
        <v>4800000</v>
      </c>
    </row>
    <row r="49" spans="1:28" ht="11.15" customHeight="1" x14ac:dyDescent="0.25">
      <c r="A49" s="108"/>
      <c r="B49" s="69" t="s">
        <v>39</v>
      </c>
      <c r="C49" s="56"/>
      <c r="D49" s="54">
        <f>+Nómina!$D$53</f>
        <v>1000000</v>
      </c>
      <c r="E49" s="54">
        <v>100000</v>
      </c>
      <c r="F49" s="54">
        <f>+Nómina!$D$53</f>
        <v>1000000</v>
      </c>
      <c r="G49" s="54">
        <v>100000</v>
      </c>
      <c r="H49" s="54">
        <f>+Nómina!$D$53</f>
        <v>1000000</v>
      </c>
      <c r="I49" s="54">
        <v>100000</v>
      </c>
      <c r="J49" s="54">
        <f>+Nómina!$D$53</f>
        <v>1000000</v>
      </c>
      <c r="K49" s="54">
        <v>100000</v>
      </c>
      <c r="L49" s="54">
        <f>+Nómina!$D$53</f>
        <v>1000000</v>
      </c>
      <c r="M49" s="54">
        <v>100000</v>
      </c>
      <c r="N49" s="54">
        <f>+Nómina!$D$53</f>
        <v>1000000</v>
      </c>
      <c r="O49" s="54">
        <v>100000</v>
      </c>
      <c r="P49" s="54">
        <f>+Nómina!$D$53</f>
        <v>1000000</v>
      </c>
      <c r="Q49" s="54">
        <v>100000</v>
      </c>
      <c r="R49" s="54">
        <f>+Nómina!$D$53</f>
        <v>1000000</v>
      </c>
      <c r="S49" s="54">
        <v>100000</v>
      </c>
      <c r="T49" s="54">
        <f>+Nómina!$D$53</f>
        <v>1000000</v>
      </c>
      <c r="U49" s="54">
        <v>100000</v>
      </c>
      <c r="V49" s="54">
        <f>+Nómina!$D$53</f>
        <v>1000000</v>
      </c>
      <c r="W49" s="54">
        <v>100000</v>
      </c>
      <c r="X49" s="54">
        <f>+Nómina!$D$53</f>
        <v>1000000</v>
      </c>
      <c r="Y49" s="54">
        <v>100000</v>
      </c>
      <c r="Z49" s="54">
        <f>+Nómina!$D$53</f>
        <v>1000000</v>
      </c>
      <c r="AA49" s="44">
        <f t="shared" si="13"/>
        <v>9.0707518645434387E-3</v>
      </c>
      <c r="AB49" s="43">
        <f t="shared" si="15"/>
        <v>12000000</v>
      </c>
    </row>
    <row r="50" spans="1:28" ht="11.15" customHeight="1" x14ac:dyDescent="0.25">
      <c r="A50" s="108"/>
      <c r="B50" s="69" t="s">
        <v>40</v>
      </c>
      <c r="C50" s="56"/>
      <c r="D50" s="54">
        <f>+Nómina!$D$54</f>
        <v>800000</v>
      </c>
      <c r="E50" s="54">
        <v>300000</v>
      </c>
      <c r="F50" s="54">
        <f>+Nómina!$D$54</f>
        <v>800000</v>
      </c>
      <c r="G50" s="54">
        <v>300000</v>
      </c>
      <c r="H50" s="54">
        <f>+Nómina!$D$54</f>
        <v>800000</v>
      </c>
      <c r="I50" s="54">
        <v>300000</v>
      </c>
      <c r="J50" s="54">
        <f>+Nómina!$D$54</f>
        <v>800000</v>
      </c>
      <c r="K50" s="54">
        <v>300000</v>
      </c>
      <c r="L50" s="54">
        <f>+Nómina!$D$54</f>
        <v>800000</v>
      </c>
      <c r="M50" s="54">
        <v>300000</v>
      </c>
      <c r="N50" s="54">
        <f>+Nómina!$D$54</f>
        <v>800000</v>
      </c>
      <c r="O50" s="54">
        <v>300000</v>
      </c>
      <c r="P50" s="54">
        <f>+Nómina!$D$54</f>
        <v>800000</v>
      </c>
      <c r="Q50" s="54">
        <v>300000</v>
      </c>
      <c r="R50" s="54">
        <f>+Nómina!$D$54</f>
        <v>800000</v>
      </c>
      <c r="S50" s="54">
        <v>300000</v>
      </c>
      <c r="T50" s="54">
        <f>+Nómina!$D$54</f>
        <v>800000</v>
      </c>
      <c r="U50" s="54">
        <v>300000</v>
      </c>
      <c r="V50" s="54">
        <f>+Nómina!$D$54</f>
        <v>800000</v>
      </c>
      <c r="W50" s="54">
        <v>300000</v>
      </c>
      <c r="X50" s="54">
        <f>+Nómina!$D$54</f>
        <v>800000</v>
      </c>
      <c r="Y50" s="54">
        <v>300000</v>
      </c>
      <c r="Z50" s="54">
        <f>+Nómina!$D$54</f>
        <v>800000</v>
      </c>
      <c r="AA50" s="44">
        <f t="shared" si="13"/>
        <v>7.2566014916347508E-3</v>
      </c>
      <c r="AB50" s="43">
        <f t="shared" si="15"/>
        <v>9600000</v>
      </c>
    </row>
    <row r="51" spans="1:28" ht="11.15" customHeight="1" x14ac:dyDescent="0.25">
      <c r="A51" s="108"/>
      <c r="B51" s="69" t="s">
        <v>41</v>
      </c>
      <c r="C51" s="56"/>
      <c r="D51" s="54">
        <f>+Nómina!$D$55</f>
        <v>300000</v>
      </c>
      <c r="E51" s="54">
        <v>150000</v>
      </c>
      <c r="F51" s="54">
        <f>+Nómina!$D$55</f>
        <v>300000</v>
      </c>
      <c r="G51" s="54">
        <v>150000</v>
      </c>
      <c r="H51" s="54">
        <f>+Nómina!$D$55</f>
        <v>300000</v>
      </c>
      <c r="I51" s="54">
        <v>150000</v>
      </c>
      <c r="J51" s="54">
        <f>+Nómina!$D$55</f>
        <v>300000</v>
      </c>
      <c r="K51" s="54">
        <v>150000</v>
      </c>
      <c r="L51" s="54">
        <f>+Nómina!$D$55</f>
        <v>300000</v>
      </c>
      <c r="M51" s="54">
        <v>150000</v>
      </c>
      <c r="N51" s="54">
        <f>+Nómina!$D$55</f>
        <v>300000</v>
      </c>
      <c r="O51" s="54">
        <v>150000</v>
      </c>
      <c r="P51" s="54">
        <f>+Nómina!$D$55</f>
        <v>300000</v>
      </c>
      <c r="Q51" s="54">
        <v>150000</v>
      </c>
      <c r="R51" s="54">
        <f>+Nómina!$D$55</f>
        <v>300000</v>
      </c>
      <c r="S51" s="54">
        <v>150000</v>
      </c>
      <c r="T51" s="54">
        <f>+Nómina!$D$55</f>
        <v>300000</v>
      </c>
      <c r="U51" s="54">
        <v>150000</v>
      </c>
      <c r="V51" s="54">
        <f>+Nómina!$D$55</f>
        <v>300000</v>
      </c>
      <c r="W51" s="54">
        <v>150000</v>
      </c>
      <c r="X51" s="54">
        <f>+Nómina!$D$55</f>
        <v>300000</v>
      </c>
      <c r="Y51" s="54">
        <v>150000</v>
      </c>
      <c r="Z51" s="54">
        <f>+Nómina!$D$55</f>
        <v>300000</v>
      </c>
      <c r="AA51" s="44">
        <f t="shared" si="13"/>
        <v>2.7212255593630314E-3</v>
      </c>
      <c r="AB51" s="43">
        <f t="shared" si="15"/>
        <v>3600000</v>
      </c>
    </row>
    <row r="52" spans="1:28" ht="11.15" hidden="1" customHeight="1" x14ac:dyDescent="0.25">
      <c r="A52" s="108"/>
      <c r="B52" s="69" t="s">
        <v>42</v>
      </c>
      <c r="C52" s="56"/>
      <c r="D52" s="54"/>
      <c r="E52" s="44"/>
      <c r="F52" s="54"/>
      <c r="G52" s="44"/>
      <c r="H52" s="54"/>
      <c r="I52" s="44"/>
      <c r="J52" s="54"/>
      <c r="K52" s="44"/>
      <c r="L52" s="54"/>
      <c r="M52" s="44"/>
      <c r="N52" s="54"/>
      <c r="O52" s="44"/>
      <c r="P52" s="54"/>
      <c r="Q52" s="44"/>
      <c r="R52" s="54"/>
      <c r="S52" s="44"/>
      <c r="T52" s="54"/>
      <c r="U52" s="44"/>
      <c r="V52" s="54"/>
      <c r="W52" s="44"/>
      <c r="X52" s="54"/>
      <c r="Y52" s="44"/>
      <c r="Z52" s="54"/>
      <c r="AA52" s="44">
        <f t="shared" si="13"/>
        <v>0</v>
      </c>
      <c r="AB52" s="43">
        <f t="shared" si="15"/>
        <v>0</v>
      </c>
    </row>
    <row r="53" spans="1:28" ht="11.15" customHeight="1" x14ac:dyDescent="0.25">
      <c r="A53" s="108"/>
      <c r="B53" s="69" t="s">
        <v>43</v>
      </c>
      <c r="C53" s="56"/>
      <c r="D53" s="54">
        <f>+Nómina!$D$56</f>
        <v>800000</v>
      </c>
      <c r="E53" s="54">
        <v>100000</v>
      </c>
      <c r="F53" s="54">
        <f>+Nómina!$D$56</f>
        <v>800000</v>
      </c>
      <c r="G53" s="54">
        <v>100000</v>
      </c>
      <c r="H53" s="54">
        <f>+Nómina!$D$56</f>
        <v>800000</v>
      </c>
      <c r="I53" s="54">
        <v>100000</v>
      </c>
      <c r="J53" s="54">
        <f>+Nómina!$D$56</f>
        <v>800000</v>
      </c>
      <c r="K53" s="54">
        <v>100000</v>
      </c>
      <c r="L53" s="54">
        <f>+Nómina!$D$56</f>
        <v>800000</v>
      </c>
      <c r="M53" s="54">
        <v>100000</v>
      </c>
      <c r="N53" s="54">
        <f>+Nómina!$D$56</f>
        <v>800000</v>
      </c>
      <c r="O53" s="54">
        <v>100000</v>
      </c>
      <c r="P53" s="54">
        <f>+Nómina!$D$56</f>
        <v>800000</v>
      </c>
      <c r="Q53" s="54">
        <v>100000</v>
      </c>
      <c r="R53" s="54">
        <f>+Nómina!$D$56</f>
        <v>800000</v>
      </c>
      <c r="S53" s="54">
        <v>100000</v>
      </c>
      <c r="T53" s="54">
        <f>+Nómina!$D$56</f>
        <v>800000</v>
      </c>
      <c r="U53" s="54">
        <v>100000</v>
      </c>
      <c r="V53" s="54">
        <f>+Nómina!$D$56</f>
        <v>800000</v>
      </c>
      <c r="W53" s="54">
        <v>100000</v>
      </c>
      <c r="X53" s="54">
        <f>+Nómina!$D$56</f>
        <v>800000</v>
      </c>
      <c r="Y53" s="54">
        <v>100000</v>
      </c>
      <c r="Z53" s="54">
        <f>+Nómina!$D$56</f>
        <v>800000</v>
      </c>
      <c r="AA53" s="44">
        <f t="shared" si="13"/>
        <v>7.2566014916347508E-3</v>
      </c>
      <c r="AB53" s="43">
        <f t="shared" si="15"/>
        <v>9600000</v>
      </c>
    </row>
    <row r="54" spans="1:28" ht="11.15" customHeight="1" x14ac:dyDescent="0.25">
      <c r="A54" s="108"/>
      <c r="B54" s="69" t="s">
        <v>44</v>
      </c>
      <c r="C54" s="56"/>
      <c r="D54" s="54">
        <f>+Nómina!$D$57</f>
        <v>700000</v>
      </c>
      <c r="E54" s="44" t="e">
        <f t="shared" si="16"/>
        <v>#DIV/0!</v>
      </c>
      <c r="F54" s="54">
        <f>+Nómina!$D$57</f>
        <v>700000</v>
      </c>
      <c r="G54" s="44" t="e">
        <f t="shared" si="17"/>
        <v>#DIV/0!</v>
      </c>
      <c r="H54" s="54">
        <f>+Nómina!$D$57</f>
        <v>700000</v>
      </c>
      <c r="I54" s="44" t="e">
        <f t="shared" si="18"/>
        <v>#DIV/0!</v>
      </c>
      <c r="J54" s="54">
        <f>+Nómina!$D$57</f>
        <v>700000</v>
      </c>
      <c r="K54" s="44" t="e">
        <f t="shared" si="19"/>
        <v>#DIV/0!</v>
      </c>
      <c r="L54" s="54">
        <f>+Nómina!$D$57</f>
        <v>700000</v>
      </c>
      <c r="M54" s="44" t="e">
        <f t="shared" si="20"/>
        <v>#DIV/0!</v>
      </c>
      <c r="N54" s="54">
        <f>+Nómina!$D$57</f>
        <v>700000</v>
      </c>
      <c r="O54" s="44" t="e">
        <f t="shared" si="21"/>
        <v>#DIV/0!</v>
      </c>
      <c r="P54" s="54">
        <f>+Nómina!$D$57</f>
        <v>700000</v>
      </c>
      <c r="Q54" s="44" t="e">
        <f t="shared" si="22"/>
        <v>#DIV/0!</v>
      </c>
      <c r="R54" s="54">
        <f>+Nómina!$D$57</f>
        <v>700000</v>
      </c>
      <c r="S54" s="44" t="e">
        <f t="shared" si="23"/>
        <v>#DIV/0!</v>
      </c>
      <c r="T54" s="54">
        <f>+Nómina!$D$57</f>
        <v>700000</v>
      </c>
      <c r="U54" s="44" t="e">
        <f t="shared" si="24"/>
        <v>#DIV/0!</v>
      </c>
      <c r="V54" s="54">
        <f>+Nómina!$D$57</f>
        <v>700000</v>
      </c>
      <c r="W54" s="44" t="e">
        <f t="shared" si="25"/>
        <v>#DIV/0!</v>
      </c>
      <c r="X54" s="54">
        <f>+Nómina!$D$57</f>
        <v>700000</v>
      </c>
      <c r="Y54" s="44" t="e">
        <f t="shared" si="26"/>
        <v>#DIV/0!</v>
      </c>
      <c r="Z54" s="54">
        <f>+Nómina!$D$57</f>
        <v>700000</v>
      </c>
      <c r="AA54" s="44">
        <f t="shared" si="13"/>
        <v>6.3495263051804073E-3</v>
      </c>
      <c r="AB54" s="43">
        <f t="shared" si="15"/>
        <v>8400000</v>
      </c>
    </row>
    <row r="55" spans="1:28" ht="11.15" customHeight="1" x14ac:dyDescent="0.25">
      <c r="A55" s="108"/>
      <c r="B55" s="69" t="s">
        <v>45</v>
      </c>
      <c r="C55" s="56"/>
      <c r="D55" s="54">
        <f>+Nómina!$D$58</f>
        <v>750000</v>
      </c>
      <c r="E55" s="44" t="e">
        <f t="shared" si="16"/>
        <v>#DIV/0!</v>
      </c>
      <c r="F55" s="54">
        <f>+Nómina!$D$58</f>
        <v>750000</v>
      </c>
      <c r="G55" s="43">
        <v>100000</v>
      </c>
      <c r="H55" s="54">
        <f>+Nómina!$D$58</f>
        <v>750000</v>
      </c>
      <c r="I55" s="43">
        <v>100000</v>
      </c>
      <c r="J55" s="54">
        <f>+Nómina!$D$58</f>
        <v>750000</v>
      </c>
      <c r="K55" s="43">
        <v>100000</v>
      </c>
      <c r="L55" s="54">
        <f>+Nómina!$D$58</f>
        <v>750000</v>
      </c>
      <c r="M55" s="43">
        <v>100000</v>
      </c>
      <c r="N55" s="54">
        <f>+Nómina!$D$58</f>
        <v>750000</v>
      </c>
      <c r="O55" s="43">
        <v>100000</v>
      </c>
      <c r="P55" s="54">
        <f>+Nómina!$D$58</f>
        <v>750000</v>
      </c>
      <c r="Q55" s="43">
        <v>100000</v>
      </c>
      <c r="R55" s="54">
        <f>+Nómina!$D$58</f>
        <v>750000</v>
      </c>
      <c r="S55" s="43">
        <v>100000</v>
      </c>
      <c r="T55" s="54">
        <f>+Nómina!$D$58</f>
        <v>750000</v>
      </c>
      <c r="U55" s="43">
        <v>100000</v>
      </c>
      <c r="V55" s="54">
        <f>+Nómina!$D$58</f>
        <v>750000</v>
      </c>
      <c r="W55" s="43">
        <v>100000</v>
      </c>
      <c r="X55" s="54">
        <f>+Nómina!$D$58</f>
        <v>750000</v>
      </c>
      <c r="Y55" s="43">
        <v>100000</v>
      </c>
      <c r="Z55" s="54">
        <f>+Nómina!$D$58</f>
        <v>750000</v>
      </c>
      <c r="AA55" s="44">
        <f t="shared" si="13"/>
        <v>6.8030638984075791E-3</v>
      </c>
      <c r="AB55" s="43">
        <f t="shared" si="15"/>
        <v>9000000</v>
      </c>
    </row>
    <row r="56" spans="1:28" ht="11.15" customHeight="1" thickBot="1" x14ac:dyDescent="0.3">
      <c r="A56" s="109"/>
      <c r="B56" s="71" t="s">
        <v>46</v>
      </c>
      <c r="C56" s="58"/>
      <c r="D56" s="55">
        <f>+Nómina!$D$59</f>
        <v>600000</v>
      </c>
      <c r="E56" s="45" t="e">
        <f t="shared" si="16"/>
        <v>#DIV/0!</v>
      </c>
      <c r="F56" s="55">
        <f>+Nómina!$D$59</f>
        <v>600000</v>
      </c>
      <c r="G56" s="45" t="e">
        <f t="shared" si="17"/>
        <v>#DIV/0!</v>
      </c>
      <c r="H56" s="55">
        <f>+Nómina!$D$59</f>
        <v>600000</v>
      </c>
      <c r="I56" s="45" t="e">
        <f t="shared" si="18"/>
        <v>#DIV/0!</v>
      </c>
      <c r="J56" s="55">
        <f>+Nómina!$D$59</f>
        <v>600000</v>
      </c>
      <c r="K56" s="45" t="e">
        <f t="shared" si="19"/>
        <v>#DIV/0!</v>
      </c>
      <c r="L56" s="55">
        <f>+Nómina!$D$59</f>
        <v>600000</v>
      </c>
      <c r="M56" s="45" t="e">
        <f t="shared" si="20"/>
        <v>#DIV/0!</v>
      </c>
      <c r="N56" s="55">
        <f>+Nómina!$D$59</f>
        <v>600000</v>
      </c>
      <c r="O56" s="45" t="e">
        <f t="shared" si="21"/>
        <v>#DIV/0!</v>
      </c>
      <c r="P56" s="55">
        <f>+Nómina!$D$59</f>
        <v>600000</v>
      </c>
      <c r="Q56" s="45" t="e">
        <f t="shared" si="22"/>
        <v>#DIV/0!</v>
      </c>
      <c r="R56" s="55">
        <f>+Nómina!$D$59</f>
        <v>600000</v>
      </c>
      <c r="S56" s="45" t="e">
        <f t="shared" si="23"/>
        <v>#DIV/0!</v>
      </c>
      <c r="T56" s="55">
        <f>+Nómina!$D$59</f>
        <v>600000</v>
      </c>
      <c r="U56" s="45" t="e">
        <f t="shared" si="24"/>
        <v>#DIV/0!</v>
      </c>
      <c r="V56" s="55">
        <f>+Nómina!$D$59</f>
        <v>600000</v>
      </c>
      <c r="W56" s="45" t="e">
        <f t="shared" si="25"/>
        <v>#DIV/0!</v>
      </c>
      <c r="X56" s="55">
        <f>+Nómina!$D$59</f>
        <v>600000</v>
      </c>
      <c r="Y56" s="45" t="e">
        <f t="shared" si="26"/>
        <v>#DIV/0!</v>
      </c>
      <c r="Z56" s="55">
        <f>+Nómina!$D$59</f>
        <v>600000</v>
      </c>
      <c r="AA56" s="45">
        <f t="shared" si="13"/>
        <v>5.4424511187260629E-3</v>
      </c>
      <c r="AB56" s="43">
        <f t="shared" si="15"/>
        <v>7200000</v>
      </c>
    </row>
    <row r="57" spans="1:28" ht="13.5" thickTop="1" thickBot="1" x14ac:dyDescent="0.3">
      <c r="B57" s="46" t="s">
        <v>47</v>
      </c>
      <c r="C57" s="47"/>
      <c r="D57" s="50">
        <f>D23-D25</f>
        <v>14098737.543232009</v>
      </c>
      <c r="E57" s="48"/>
      <c r="F57" s="50">
        <f>F23-F25</f>
        <v>11476887.543232009</v>
      </c>
      <c r="G57" s="49"/>
      <c r="H57" s="50">
        <f>H23-H25</f>
        <v>13661762.543232009</v>
      </c>
      <c r="I57" s="48"/>
      <c r="J57" s="50">
        <f>J23-J25</f>
        <v>13636792.543232009</v>
      </c>
      <c r="K57" s="48"/>
      <c r="L57" s="50">
        <f>L23-L25</f>
        <v>15846637.543232009</v>
      </c>
      <c r="M57" s="48"/>
      <c r="N57" s="50">
        <f>N23-N25</f>
        <v>12413262.543232009</v>
      </c>
      <c r="O57" s="48"/>
      <c r="P57" s="50">
        <f>P23-P25</f>
        <v>14286012.543232009</v>
      </c>
      <c r="Q57" s="48"/>
      <c r="R57" s="50">
        <f>R23-R25</f>
        <v>14286012.543232009</v>
      </c>
      <c r="S57" s="48"/>
      <c r="T57" s="50">
        <f>T23-T25</f>
        <v>12850237.543232009</v>
      </c>
      <c r="U57" s="48"/>
      <c r="V57" s="50">
        <f>V23-V25</f>
        <v>17257442.543232009</v>
      </c>
      <c r="W57" s="48"/>
      <c r="X57" s="50">
        <f>X23-X25</f>
        <v>7149216.6173060834</v>
      </c>
      <c r="Y57" s="48"/>
      <c r="Z57" s="50">
        <f>Z23-Z25</f>
        <v>11715489.765454233</v>
      </c>
      <c r="AA57" s="48"/>
      <c r="AB57" s="50">
        <f>SUM(D57:Z57)</f>
        <v>158678491.8150804</v>
      </c>
    </row>
    <row r="58" spans="1:28" ht="13" thickTop="1" x14ac:dyDescent="0.25">
      <c r="B58" s="7"/>
      <c r="C58" s="7"/>
      <c r="D58" s="8"/>
      <c r="E58" s="8"/>
      <c r="F58" s="8"/>
      <c r="G58" s="11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 spans="1:28" x14ac:dyDescent="0.25">
      <c r="B59" s="9"/>
      <c r="C59" s="9"/>
      <c r="D59" s="8"/>
      <c r="E59" s="8"/>
      <c r="F59" s="8"/>
      <c r="G59" s="11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 spans="1:28" x14ac:dyDescent="0.25">
      <c r="B60" s="7"/>
      <c r="C60" s="7"/>
      <c r="D60" s="8"/>
      <c r="E60" s="8"/>
      <c r="F60" s="8"/>
      <c r="G60" s="11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7"/>
    </row>
    <row r="61" spans="1:28" x14ac:dyDescent="0.25">
      <c r="B61" s="7"/>
      <c r="C61" s="7"/>
      <c r="D61" s="8"/>
      <c r="E61" s="8"/>
      <c r="F61" s="8"/>
      <c r="G61" s="11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7"/>
    </row>
    <row r="62" spans="1:28" x14ac:dyDescent="0.25">
      <c r="B62" s="7"/>
      <c r="C62" s="7"/>
      <c r="D62" s="8"/>
      <c r="E62" s="8"/>
      <c r="F62" s="8"/>
      <c r="G62" s="11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7"/>
    </row>
    <row r="63" spans="1:28" x14ac:dyDescent="0.25">
      <c r="B63" s="7"/>
      <c r="C63" s="7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7"/>
    </row>
    <row r="64" spans="1:28" x14ac:dyDescent="0.25">
      <c r="B64" s="9"/>
      <c r="C64" s="9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7"/>
    </row>
  </sheetData>
  <mergeCells count="3">
    <mergeCell ref="B2:AB2"/>
    <mergeCell ref="A42:A56"/>
    <mergeCell ref="B1:AB1"/>
  </mergeCells>
  <phoneticPr fontId="2" type="noConversion"/>
  <pageMargins left="0.75" right="0.75" top="1" bottom="1" header="0" footer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64"/>
  <sheetViews>
    <sheetView showGridLines="0" zoomScaleNormal="100" workbookViewId="0">
      <selection activeCell="B1" sqref="B1:AB1"/>
    </sheetView>
  </sheetViews>
  <sheetFormatPr baseColWidth="10" defaultRowHeight="12.5" x14ac:dyDescent="0.25"/>
  <cols>
    <col min="1" max="1" width="3" customWidth="1"/>
    <col min="2" max="2" width="22.1796875" bestFit="1" customWidth="1"/>
    <col min="3" max="3" width="5.81640625" bestFit="1" customWidth="1"/>
    <col min="4" max="4" width="10.1796875" bestFit="1" customWidth="1"/>
    <col min="5" max="5" width="6.26953125" hidden="1" customWidth="1"/>
    <col min="6" max="6" width="10" bestFit="1" customWidth="1"/>
    <col min="7" max="7" width="6.26953125" hidden="1" customWidth="1"/>
    <col min="8" max="8" width="10" bestFit="1" customWidth="1"/>
    <col min="9" max="9" width="6.26953125" hidden="1" customWidth="1"/>
    <col min="10" max="10" width="10.26953125" bestFit="1" customWidth="1"/>
    <col min="11" max="11" width="6.26953125" hidden="1" customWidth="1"/>
    <col min="12" max="12" width="10.453125" bestFit="1" customWidth="1"/>
    <col min="13" max="13" width="6.26953125" hidden="1" customWidth="1"/>
    <col min="14" max="14" width="10.26953125" bestFit="1" customWidth="1"/>
    <col min="15" max="15" width="6.26953125" hidden="1" customWidth="1"/>
    <col min="16" max="16" width="10.1796875" bestFit="1" customWidth="1"/>
    <col min="17" max="17" width="6.26953125" hidden="1" customWidth="1"/>
    <col min="18" max="18" width="10.1796875" bestFit="1" customWidth="1"/>
    <col min="19" max="19" width="6.26953125" hidden="1" customWidth="1"/>
    <col min="20" max="20" width="10" bestFit="1" customWidth="1"/>
    <col min="21" max="21" width="6.26953125" hidden="1" customWidth="1"/>
    <col min="22" max="22" width="10.26953125" bestFit="1" customWidth="1"/>
    <col min="23" max="23" width="6.26953125" hidden="1" customWidth="1"/>
    <col min="24" max="24" width="10.1796875" bestFit="1" customWidth="1"/>
    <col min="25" max="25" width="6.26953125" hidden="1" customWidth="1"/>
    <col min="26" max="26" width="10" bestFit="1" customWidth="1"/>
    <col min="27" max="27" width="6" hidden="1" customWidth="1"/>
    <col min="28" max="28" width="11.453125" bestFit="1" customWidth="1"/>
  </cols>
  <sheetData>
    <row r="1" spans="2:28" ht="15" x14ac:dyDescent="0.25">
      <c r="B1" s="106" t="str">
        <f>+Nómina!C1</f>
        <v>Restaurante de Prueba</v>
      </c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</row>
    <row r="2" spans="2:28" ht="15" x14ac:dyDescent="0.25">
      <c r="B2" s="106" t="str">
        <f>+'Presupuesto 0'!B2:AB2</f>
        <v xml:space="preserve">PRESUPUESTO ESTIMADO </v>
      </c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</row>
    <row r="3" spans="2:28" ht="15" x14ac:dyDescent="0.25">
      <c r="B3" s="72" t="s">
        <v>68</v>
      </c>
      <c r="C3" s="72"/>
      <c r="D3" s="73">
        <v>0.15</v>
      </c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</row>
    <row r="4" spans="2:28" x14ac:dyDescent="0.25">
      <c r="B4" s="59" t="s">
        <v>0</v>
      </c>
      <c r="C4" s="63"/>
      <c r="D4" s="29" t="s">
        <v>48</v>
      </c>
      <c r="E4" s="2" t="s">
        <v>1</v>
      </c>
      <c r="F4" s="29" t="s">
        <v>49</v>
      </c>
      <c r="G4" s="2" t="s">
        <v>1</v>
      </c>
      <c r="H4" s="29" t="s">
        <v>50</v>
      </c>
      <c r="I4" s="2" t="s">
        <v>1</v>
      </c>
      <c r="J4" s="29" t="s">
        <v>51</v>
      </c>
      <c r="K4" s="2" t="s">
        <v>1</v>
      </c>
      <c r="L4" s="29" t="s">
        <v>52</v>
      </c>
      <c r="M4" s="2" t="s">
        <v>1</v>
      </c>
      <c r="N4" s="29" t="s">
        <v>53</v>
      </c>
      <c r="O4" s="2" t="s">
        <v>1</v>
      </c>
      <c r="P4" s="29" t="s">
        <v>54</v>
      </c>
      <c r="Q4" s="2" t="s">
        <v>1</v>
      </c>
      <c r="R4" s="29" t="s">
        <v>55</v>
      </c>
      <c r="S4" s="2" t="s">
        <v>1</v>
      </c>
      <c r="T4" s="29" t="s">
        <v>56</v>
      </c>
      <c r="U4" s="2" t="s">
        <v>1</v>
      </c>
      <c r="V4" s="29" t="s">
        <v>57</v>
      </c>
      <c r="W4" s="2" t="s">
        <v>1</v>
      </c>
      <c r="X4" s="29" t="s">
        <v>58</v>
      </c>
      <c r="Y4" s="2" t="s">
        <v>1</v>
      </c>
      <c r="Z4" s="29" t="s">
        <v>59</v>
      </c>
      <c r="AA4" s="2" t="s">
        <v>1</v>
      </c>
      <c r="AB4" s="2" t="s">
        <v>2</v>
      </c>
    </row>
    <row r="5" spans="2:28" x14ac:dyDescent="0.25">
      <c r="B5" s="60" t="s">
        <v>3</v>
      </c>
      <c r="C5" s="64"/>
      <c r="D5" s="4">
        <f>+'Presupuesto 0'!D4*(1+$D$3)</f>
        <v>71787600</v>
      </c>
      <c r="E5" s="5"/>
      <c r="F5" s="4">
        <f>+'Presupuesto 0'!F4*(1+$D$3)</f>
        <v>68889600</v>
      </c>
      <c r="G5" s="4"/>
      <c r="H5" s="4">
        <f>+'Presupuesto 0'!H4*(1+$D$3)</f>
        <v>71304600</v>
      </c>
      <c r="I5" s="5"/>
      <c r="J5" s="4">
        <f>+'Presupuesto 0'!J4*(1+$D$3)</f>
        <v>71277000</v>
      </c>
      <c r="K5" s="4"/>
      <c r="L5" s="4">
        <f>+'Presupuesto 0'!L4*(1+$D$3)</f>
        <v>73719600</v>
      </c>
      <c r="M5" s="5"/>
      <c r="N5" s="4">
        <f>+'Presupuesto 0'!N4*(1+$D$3)</f>
        <v>69924600</v>
      </c>
      <c r="O5" s="4"/>
      <c r="P5" s="4">
        <f>+'Presupuesto 0'!P4*(1+$D$3)</f>
        <v>71994600</v>
      </c>
      <c r="Q5" s="5"/>
      <c r="R5" s="4">
        <f>+'Presupuesto 0'!R4*(1+$D$3)</f>
        <v>71994600</v>
      </c>
      <c r="S5" s="4"/>
      <c r="T5" s="4">
        <f>+'Presupuesto 0'!T4*(1+$D$3)</f>
        <v>70407600</v>
      </c>
      <c r="U5" s="5"/>
      <c r="V5" s="4">
        <f>+'Presupuesto 0'!V4*(1+$D$3)</f>
        <v>75279000</v>
      </c>
      <c r="W5" s="4"/>
      <c r="X5" s="4">
        <f>+'Presupuesto 0'!X4*(1+$D$3)</f>
        <v>64106111.111111104</v>
      </c>
      <c r="Y5" s="5"/>
      <c r="Z5" s="4">
        <f>+'Presupuesto 0'!Z4*(1+$D$3)</f>
        <v>69153333.333333328</v>
      </c>
      <c r="AA5" s="4"/>
      <c r="AB5" s="4">
        <f t="shared" ref="AB5:AB12" si="0">SUM(D5:Z5)</f>
        <v>849838244.44444454</v>
      </c>
    </row>
    <row r="6" spans="2:28" x14ac:dyDescent="0.25">
      <c r="B6" s="60" t="s">
        <v>4</v>
      </c>
      <c r="C6" s="64"/>
      <c r="D6" s="4">
        <f>+'Presupuesto 0'!D5*(1+$D$3)</f>
        <v>47858400</v>
      </c>
      <c r="E6" s="4"/>
      <c r="F6" s="4">
        <f>+'Presupuesto 0'!F5*(1+$D$3)</f>
        <v>45926400</v>
      </c>
      <c r="G6" s="4"/>
      <c r="H6" s="4">
        <f>+'Presupuesto 0'!H5*(1+$D$3)</f>
        <v>47536400</v>
      </c>
      <c r="I6" s="4"/>
      <c r="J6" s="4">
        <f>+'Presupuesto 0'!J5*(1+$D$3)</f>
        <v>47518000</v>
      </c>
      <c r="K6" s="4"/>
      <c r="L6" s="4">
        <f>+'Presupuesto 0'!L5*(1+$D$3)</f>
        <v>49146399.999999993</v>
      </c>
      <c r="M6" s="4"/>
      <c r="N6" s="4">
        <f>+'Presupuesto 0'!N5*(1+$D$3)</f>
        <v>46616400</v>
      </c>
      <c r="O6" s="4"/>
      <c r="P6" s="4">
        <f>+'Presupuesto 0'!P5*(1+$D$3)</f>
        <v>47996400</v>
      </c>
      <c r="Q6" s="4"/>
      <c r="R6" s="4">
        <f>+'Presupuesto 0'!R5*(1+$D$3)</f>
        <v>47996400</v>
      </c>
      <c r="S6" s="4"/>
      <c r="T6" s="4">
        <f>+'Presupuesto 0'!T5*(1+$D$3)</f>
        <v>46938400</v>
      </c>
      <c r="U6" s="4"/>
      <c r="V6" s="4">
        <f>+'Presupuesto 0'!V5*(1+$D$3)</f>
        <v>50185999.999999993</v>
      </c>
      <c r="W6" s="4"/>
      <c r="X6" s="4">
        <f>+'Presupuesto 0'!X5*(1+$D$3)</f>
        <v>42737407.407407403</v>
      </c>
      <c r="Y6" s="4"/>
      <c r="Z6" s="4">
        <f>+'Presupuesto 0'!Z5*(1+$D$3)</f>
        <v>46102222.222222216</v>
      </c>
      <c r="AA6" s="4"/>
      <c r="AB6" s="4">
        <f t="shared" si="0"/>
        <v>566558829.62962961</v>
      </c>
    </row>
    <row r="7" spans="2:28" hidden="1" x14ac:dyDescent="0.25">
      <c r="B7" s="60" t="s">
        <v>5</v>
      </c>
      <c r="C7" s="6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>
        <f t="shared" si="0"/>
        <v>0</v>
      </c>
    </row>
    <row r="8" spans="2:28" hidden="1" x14ac:dyDescent="0.25">
      <c r="B8" s="61" t="s">
        <v>6</v>
      </c>
      <c r="C8" s="6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>
        <f t="shared" si="0"/>
        <v>0</v>
      </c>
    </row>
    <row r="9" spans="2:28" hidden="1" x14ac:dyDescent="0.25">
      <c r="B9" s="61" t="s">
        <v>60</v>
      </c>
      <c r="C9" s="6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>
        <f t="shared" si="0"/>
        <v>0</v>
      </c>
    </row>
    <row r="10" spans="2:28" hidden="1" x14ac:dyDescent="0.25">
      <c r="B10" s="61" t="s">
        <v>7</v>
      </c>
      <c r="C10" s="6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>
        <f t="shared" si="0"/>
        <v>0</v>
      </c>
    </row>
    <row r="11" spans="2:28" hidden="1" x14ac:dyDescent="0.25">
      <c r="B11" s="61" t="s">
        <v>61</v>
      </c>
      <c r="C11" s="6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>
        <f t="shared" si="0"/>
        <v>0</v>
      </c>
    </row>
    <row r="12" spans="2:28" hidden="1" x14ac:dyDescent="0.25">
      <c r="B12" s="61"/>
      <c r="C12" s="6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>
        <f t="shared" si="0"/>
        <v>0</v>
      </c>
    </row>
    <row r="13" spans="2:28" x14ac:dyDescent="0.25">
      <c r="B13" s="62" t="s">
        <v>2</v>
      </c>
      <c r="C13" s="63"/>
      <c r="D13" s="6">
        <f>SUM(D5:D12)</f>
        <v>119646000</v>
      </c>
      <c r="E13" s="6"/>
      <c r="F13" s="6">
        <f>SUM(F5:F12)</f>
        <v>114816000</v>
      </c>
      <c r="G13" s="6"/>
      <c r="H13" s="6">
        <f>SUM(H5:H12)</f>
        <v>118841000</v>
      </c>
      <c r="I13" s="6"/>
      <c r="J13" s="6">
        <f>SUM(J5:J12)</f>
        <v>118795000</v>
      </c>
      <c r="K13" s="6"/>
      <c r="L13" s="6">
        <f>SUM(L5:L12)</f>
        <v>122866000</v>
      </c>
      <c r="M13" s="6"/>
      <c r="N13" s="6">
        <f>SUM(N5:N12)</f>
        <v>116541000</v>
      </c>
      <c r="O13" s="6"/>
      <c r="P13" s="6">
        <f>SUM(P5:P12)</f>
        <v>119991000</v>
      </c>
      <c r="Q13" s="6"/>
      <c r="R13" s="6">
        <f>SUM(R5:R12)</f>
        <v>119991000</v>
      </c>
      <c r="S13" s="6"/>
      <c r="T13" s="6">
        <f>SUM(T5:T12)</f>
        <v>117346000</v>
      </c>
      <c r="U13" s="6"/>
      <c r="V13" s="6">
        <f>SUM(V5:V12)</f>
        <v>125465000</v>
      </c>
      <c r="W13" s="6"/>
      <c r="X13" s="6">
        <f>SUM(X5:X12)</f>
        <v>106843518.51851851</v>
      </c>
      <c r="Y13" s="6"/>
      <c r="Z13" s="6">
        <f>SUM(Z5:Z12)</f>
        <v>115255555.55555555</v>
      </c>
      <c r="AA13" s="6"/>
      <c r="AB13" s="6">
        <f>SUM(AB5:AB12)</f>
        <v>1416397074.0740743</v>
      </c>
    </row>
    <row r="14" spans="2:28" x14ac:dyDescent="0.25">
      <c r="B14" s="62" t="s">
        <v>8</v>
      </c>
      <c r="C14" s="64"/>
      <c r="D14" s="4">
        <f>D13/'Ventas por día'!D11</f>
        <v>3988200</v>
      </c>
      <c r="E14" s="4"/>
      <c r="F14" s="4">
        <f>F13/'Ventas por día'!F11</f>
        <v>3959172.4137931033</v>
      </c>
      <c r="G14" s="4"/>
      <c r="H14" s="4">
        <f>H13/'Ventas por día'!H11</f>
        <v>3833580.6451612902</v>
      </c>
      <c r="I14" s="4"/>
      <c r="J14" s="4">
        <f>J13/'Ventas por día'!J11</f>
        <v>3959833.3333333335</v>
      </c>
      <c r="K14" s="4"/>
      <c r="L14" s="4">
        <f>L13/'Ventas por día'!L11</f>
        <v>3963419.3548387098</v>
      </c>
      <c r="M14" s="4"/>
      <c r="N14" s="4">
        <f>N13/'Ventas por día'!N11</f>
        <v>3884700</v>
      </c>
      <c r="O14" s="4"/>
      <c r="P14" s="4">
        <f>P13/'Ventas por día'!P11</f>
        <v>3870677.4193548388</v>
      </c>
      <c r="Q14" s="4"/>
      <c r="R14" s="4">
        <f>R13/'Ventas por día'!R11</f>
        <v>3870677.4193548388</v>
      </c>
      <c r="S14" s="4"/>
      <c r="T14" s="4">
        <f>T13/'Ventas por día'!T11</f>
        <v>3911533.3333333335</v>
      </c>
      <c r="U14" s="4"/>
      <c r="V14" s="4">
        <f>V13/'Ventas por día'!V11</f>
        <v>4047258.064516129</v>
      </c>
      <c r="W14" s="4"/>
      <c r="X14" s="4">
        <f>X13/'Ventas por día'!X11</f>
        <v>3561450.6172839501</v>
      </c>
      <c r="Y14" s="4"/>
      <c r="Z14" s="4">
        <f>Z13/'Ventas por día'!Z11</f>
        <v>3841851.8518518517</v>
      </c>
      <c r="AA14" s="4"/>
      <c r="AB14" s="4"/>
    </row>
    <row r="15" spans="2:28" x14ac:dyDescent="0.25">
      <c r="B15" s="62" t="s">
        <v>9</v>
      </c>
      <c r="C15" s="64"/>
      <c r="D15" s="4">
        <f>D14/$D$16</f>
        <v>181.28181818181818</v>
      </c>
      <c r="E15" s="4"/>
      <c r="F15" s="4">
        <f>F14/$D$16</f>
        <v>179.96238244514106</v>
      </c>
      <c r="G15" s="4"/>
      <c r="H15" s="4">
        <f>H14/$D$16</f>
        <v>174.25366568914956</v>
      </c>
      <c r="I15" s="4"/>
      <c r="J15" s="4">
        <f>J14/$D$16</f>
        <v>179.99242424242425</v>
      </c>
      <c r="K15" s="4"/>
      <c r="L15" s="4">
        <f>L14/$D$16</f>
        <v>180.15542521994135</v>
      </c>
      <c r="M15" s="4"/>
      <c r="N15" s="4">
        <f>N14/$D$16</f>
        <v>176.57727272727271</v>
      </c>
      <c r="O15" s="4"/>
      <c r="P15" s="4">
        <f>P14/$D$16</f>
        <v>175.93988269794721</v>
      </c>
      <c r="Q15" s="4"/>
      <c r="R15" s="4">
        <f>R14/$D$16</f>
        <v>175.93988269794721</v>
      </c>
      <c r="S15" s="4"/>
      <c r="T15" s="4">
        <f>T14/$D$16</f>
        <v>177.79696969696971</v>
      </c>
      <c r="U15" s="4"/>
      <c r="V15" s="4">
        <f>V14/$D$16</f>
        <v>183.96627565982405</v>
      </c>
      <c r="W15" s="4"/>
      <c r="X15" s="4">
        <f>X14/$D$16</f>
        <v>161.88411896745228</v>
      </c>
      <c r="Y15" s="4"/>
      <c r="Z15" s="4">
        <f>Z14/$D$16</f>
        <v>174.62962962962962</v>
      </c>
      <c r="AA15" s="4"/>
      <c r="AB15" s="3"/>
    </row>
    <row r="16" spans="2:28" ht="13" thickBot="1" x14ac:dyDescent="0.3">
      <c r="B16" s="40" t="s">
        <v>10</v>
      </c>
      <c r="C16" s="41"/>
      <c r="D16" s="52">
        <f>+'Presupuesto 0'!D15</f>
        <v>22000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7"/>
    </row>
    <row r="17" spans="2:28" ht="13" thickTop="1" x14ac:dyDescent="0.25">
      <c r="B17" s="65"/>
      <c r="C17" s="20"/>
      <c r="D17" s="66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7"/>
    </row>
    <row r="18" spans="2:28" x14ac:dyDescent="0.25">
      <c r="B18" s="59" t="s">
        <v>11</v>
      </c>
      <c r="C18" s="63"/>
      <c r="D18" s="29" t="s">
        <v>48</v>
      </c>
      <c r="E18" s="2" t="s">
        <v>1</v>
      </c>
      <c r="F18" s="29" t="s">
        <v>49</v>
      </c>
      <c r="G18" s="2" t="s">
        <v>1</v>
      </c>
      <c r="H18" s="29" t="s">
        <v>50</v>
      </c>
      <c r="I18" s="2" t="s">
        <v>1</v>
      </c>
      <c r="J18" s="29" t="s">
        <v>51</v>
      </c>
      <c r="K18" s="2" t="s">
        <v>1</v>
      </c>
      <c r="L18" s="29" t="s">
        <v>52</v>
      </c>
      <c r="M18" s="2" t="s">
        <v>1</v>
      </c>
      <c r="N18" s="29" t="s">
        <v>53</v>
      </c>
      <c r="O18" s="2" t="s">
        <v>1</v>
      </c>
      <c r="P18" s="29" t="s">
        <v>54</v>
      </c>
      <c r="Q18" s="2" t="s">
        <v>1</v>
      </c>
      <c r="R18" s="29" t="s">
        <v>55</v>
      </c>
      <c r="S18" s="2" t="s">
        <v>1</v>
      </c>
      <c r="T18" s="29" t="s">
        <v>56</v>
      </c>
      <c r="U18" s="2" t="s">
        <v>1</v>
      </c>
      <c r="V18" s="29" t="s">
        <v>57</v>
      </c>
      <c r="W18" s="2" t="s">
        <v>1</v>
      </c>
      <c r="X18" s="29" t="s">
        <v>58</v>
      </c>
      <c r="Y18" s="2" t="s">
        <v>1</v>
      </c>
      <c r="Z18" s="29" t="s">
        <v>59</v>
      </c>
      <c r="AA18" s="2" t="s">
        <v>1</v>
      </c>
      <c r="AB18" s="2" t="s">
        <v>2</v>
      </c>
    </row>
    <row r="19" spans="2:28" x14ac:dyDescent="0.25">
      <c r="B19" s="3" t="s">
        <v>12</v>
      </c>
      <c r="C19" s="10">
        <f>+'Presupuesto 0'!C18</f>
        <v>0.38</v>
      </c>
      <c r="D19" s="4">
        <f>D5*$C$19</f>
        <v>27279288</v>
      </c>
      <c r="E19" s="10"/>
      <c r="F19" s="4">
        <f>F5*$C$19</f>
        <v>26178048</v>
      </c>
      <c r="G19" s="10"/>
      <c r="H19" s="4">
        <f>H5*$C$19</f>
        <v>27095748</v>
      </c>
      <c r="I19" s="10"/>
      <c r="J19" s="4">
        <f>J5*$C$19</f>
        <v>27085260</v>
      </c>
      <c r="K19" s="10"/>
      <c r="L19" s="4">
        <f>L5*$C$19</f>
        <v>28013448</v>
      </c>
      <c r="M19" s="10"/>
      <c r="N19" s="4">
        <f>N5*$C$19</f>
        <v>26571348</v>
      </c>
      <c r="O19" s="10"/>
      <c r="P19" s="4">
        <f>P5*$C$19</f>
        <v>27357948</v>
      </c>
      <c r="Q19" s="10"/>
      <c r="R19" s="4">
        <f>R5*$C$19</f>
        <v>27357948</v>
      </c>
      <c r="S19" s="10"/>
      <c r="T19" s="4">
        <f>T5*$C$19</f>
        <v>26754888</v>
      </c>
      <c r="U19" s="10"/>
      <c r="V19" s="4">
        <f>V5*$C$19</f>
        <v>28606020</v>
      </c>
      <c r="W19" s="10"/>
      <c r="X19" s="4">
        <f>X5*$C$19</f>
        <v>24360322.22222222</v>
      </c>
      <c r="Y19" s="10"/>
      <c r="Z19" s="4">
        <f>Z5*$C$19</f>
        <v>26278266.666666664</v>
      </c>
      <c r="AA19" s="10"/>
      <c r="AB19" s="4">
        <f>SUM(D19:Z19)</f>
        <v>322938532.8888889</v>
      </c>
    </row>
    <row r="20" spans="2:28" x14ac:dyDescent="0.25">
      <c r="B20" s="3" t="s">
        <v>13</v>
      </c>
      <c r="C20" s="10">
        <f>+'Presupuesto 0'!C19</f>
        <v>0.43</v>
      </c>
      <c r="D20" s="4">
        <f>D6*$C$20</f>
        <v>20579112</v>
      </c>
      <c r="E20" s="10"/>
      <c r="F20" s="4">
        <f>F6*$C$20</f>
        <v>19748352</v>
      </c>
      <c r="G20" s="10"/>
      <c r="H20" s="4">
        <f>H6*$C$20</f>
        <v>20440652</v>
      </c>
      <c r="I20" s="10"/>
      <c r="J20" s="4">
        <f>J6*$C$20</f>
        <v>20432740</v>
      </c>
      <c r="K20" s="10"/>
      <c r="L20" s="4">
        <f>L6*$C$20</f>
        <v>21132951.999999996</v>
      </c>
      <c r="M20" s="10"/>
      <c r="N20" s="4">
        <f>N6*$C$20</f>
        <v>20045052</v>
      </c>
      <c r="O20" s="10"/>
      <c r="P20" s="4">
        <f>P6*$C$20</f>
        <v>20638452</v>
      </c>
      <c r="Q20" s="10"/>
      <c r="R20" s="4">
        <f>R6*$C$20</f>
        <v>20638452</v>
      </c>
      <c r="S20" s="10"/>
      <c r="T20" s="4">
        <f>T6*$C$20</f>
        <v>20183512</v>
      </c>
      <c r="U20" s="10"/>
      <c r="V20" s="4">
        <f>V6*$C$20</f>
        <v>21579979.999999996</v>
      </c>
      <c r="W20" s="10"/>
      <c r="X20" s="4">
        <f>X6*$C$20</f>
        <v>18377085.185185183</v>
      </c>
      <c r="Y20" s="10"/>
      <c r="Z20" s="4">
        <f>Z6*$C$20</f>
        <v>19823955.555555552</v>
      </c>
      <c r="AA20" s="10"/>
      <c r="AB20" s="4">
        <f>SUM(D20:Z20)</f>
        <v>243620296.74074075</v>
      </c>
    </row>
    <row r="21" spans="2:28" hidden="1" x14ac:dyDescent="0.25">
      <c r="B21" s="3" t="s">
        <v>14</v>
      </c>
      <c r="C21" s="10">
        <v>0.35</v>
      </c>
      <c r="D21" s="4">
        <f>D7*$C$21</f>
        <v>0</v>
      </c>
      <c r="E21" s="10"/>
      <c r="F21" s="4">
        <f>F7*$C$21</f>
        <v>0</v>
      </c>
      <c r="G21" s="10"/>
      <c r="H21" s="4">
        <f>H7*$C$21</f>
        <v>0</v>
      </c>
      <c r="I21" s="10"/>
      <c r="J21" s="4">
        <f>J7*$C$21</f>
        <v>0</v>
      </c>
      <c r="K21" s="10"/>
      <c r="L21" s="4">
        <f>L7*$C$21</f>
        <v>0</v>
      </c>
      <c r="M21" s="10"/>
      <c r="N21" s="4">
        <f>N7*$C$21</f>
        <v>0</v>
      </c>
      <c r="O21" s="10"/>
      <c r="P21" s="4">
        <f>P7*$C$21</f>
        <v>0</v>
      </c>
      <c r="Q21" s="10"/>
      <c r="R21" s="4">
        <f>R7*$C$21</f>
        <v>0</v>
      </c>
      <c r="S21" s="10"/>
      <c r="T21" s="4">
        <f>T7*$C$21</f>
        <v>0</v>
      </c>
      <c r="U21" s="10"/>
      <c r="V21" s="4">
        <f>V7*$C$21</f>
        <v>0</v>
      </c>
      <c r="W21" s="10"/>
      <c r="X21" s="4">
        <f>X7*$C$21</f>
        <v>0</v>
      </c>
      <c r="Y21" s="10"/>
      <c r="Z21" s="4">
        <f>Z7*$C$21</f>
        <v>0</v>
      </c>
      <c r="AA21" s="10"/>
      <c r="AB21" s="4">
        <f>SUM(D21:Z21)</f>
        <v>0</v>
      </c>
    </row>
    <row r="22" spans="2:28" ht="13" thickBot="1" x14ac:dyDescent="0.3">
      <c r="B22" s="1" t="s">
        <v>2</v>
      </c>
      <c r="C22" s="1"/>
      <c r="D22" s="6">
        <f>SUM(D19:D21)</f>
        <v>47858400</v>
      </c>
      <c r="E22" s="51"/>
      <c r="F22" s="6">
        <f>SUM(F19:F21)</f>
        <v>45926400</v>
      </c>
      <c r="G22" s="51"/>
      <c r="H22" s="6">
        <f>SUM(H19:H21)</f>
        <v>47536400</v>
      </c>
      <c r="I22" s="51"/>
      <c r="J22" s="6">
        <f>SUM(J19:J21)</f>
        <v>47518000</v>
      </c>
      <c r="K22" s="51"/>
      <c r="L22" s="6">
        <f>SUM(L19:L21)</f>
        <v>49146400</v>
      </c>
      <c r="M22" s="51"/>
      <c r="N22" s="6">
        <f>SUM(N19:N21)</f>
        <v>46616400</v>
      </c>
      <c r="O22" s="51"/>
      <c r="P22" s="6">
        <f>SUM(P19:P21)</f>
        <v>47996400</v>
      </c>
      <c r="Q22" s="51"/>
      <c r="R22" s="6">
        <f>SUM(R19:R21)</f>
        <v>47996400</v>
      </c>
      <c r="S22" s="51"/>
      <c r="T22" s="6">
        <f>SUM(T19:T21)</f>
        <v>46938400</v>
      </c>
      <c r="U22" s="51"/>
      <c r="V22" s="6">
        <f>SUM(V19:V21)</f>
        <v>50186000</v>
      </c>
      <c r="W22" s="51"/>
      <c r="X22" s="6">
        <f>SUM(X19:X21)</f>
        <v>42737407.407407403</v>
      </c>
      <c r="Y22" s="51"/>
      <c r="Z22" s="6">
        <f>SUM(Z19:Z21)</f>
        <v>46102222.222222216</v>
      </c>
      <c r="AA22" s="51"/>
      <c r="AB22" s="6">
        <f>SUM(D22:Z22)</f>
        <v>566558829.62962961</v>
      </c>
    </row>
    <row r="23" spans="2:28" ht="14.25" customHeight="1" thickTop="1" thickBot="1" x14ac:dyDescent="0.3">
      <c r="B23" s="46" t="s">
        <v>15</v>
      </c>
      <c r="C23" s="47"/>
      <c r="D23" s="50">
        <f>D13-D22</f>
        <v>71787600</v>
      </c>
      <c r="E23" s="48"/>
      <c r="F23" s="50">
        <f>F13-F22</f>
        <v>68889600</v>
      </c>
      <c r="G23" s="49"/>
      <c r="H23" s="50">
        <f>H13-H22</f>
        <v>71304600</v>
      </c>
      <c r="I23" s="48"/>
      <c r="J23" s="50">
        <f>J13-J22</f>
        <v>71277000</v>
      </c>
      <c r="K23" s="48"/>
      <c r="L23" s="50">
        <f>L13-L22</f>
        <v>73719600</v>
      </c>
      <c r="M23" s="48"/>
      <c r="N23" s="50">
        <f>N13-N22</f>
        <v>69924600</v>
      </c>
      <c r="O23" s="48"/>
      <c r="P23" s="50">
        <f>P13-P22</f>
        <v>71994600</v>
      </c>
      <c r="Q23" s="48"/>
      <c r="R23" s="50">
        <f>R13-R22</f>
        <v>71994600</v>
      </c>
      <c r="S23" s="48"/>
      <c r="T23" s="50">
        <f>T13-T22</f>
        <v>70407600</v>
      </c>
      <c r="U23" s="48"/>
      <c r="V23" s="50">
        <f>V13-V22</f>
        <v>75279000</v>
      </c>
      <c r="W23" s="48"/>
      <c r="X23" s="50">
        <f>X13-X22</f>
        <v>64106111.111111104</v>
      </c>
      <c r="Y23" s="48"/>
      <c r="Z23" s="50">
        <f>Z13-Z22</f>
        <v>69153333.333333343</v>
      </c>
      <c r="AA23" s="48"/>
      <c r="AB23" s="50">
        <f>SUM(D23:Z23)</f>
        <v>849838244.44444454</v>
      </c>
    </row>
    <row r="24" spans="2:28" ht="9.25" customHeight="1" thickTop="1" x14ac:dyDescent="0.25">
      <c r="B24" s="7"/>
      <c r="C24" s="7"/>
      <c r="D24" s="8"/>
      <c r="E24" s="11"/>
      <c r="F24" s="8"/>
      <c r="G24" s="11"/>
      <c r="H24" s="8"/>
      <c r="I24" s="11"/>
      <c r="J24" s="8"/>
      <c r="K24" s="11"/>
      <c r="L24" s="8"/>
      <c r="M24" s="11"/>
      <c r="N24" s="8"/>
      <c r="O24" s="11"/>
      <c r="P24" s="8"/>
      <c r="Q24" s="11"/>
      <c r="R24" s="8"/>
      <c r="S24" s="11"/>
      <c r="T24" s="8"/>
      <c r="U24" s="11"/>
      <c r="V24" s="8"/>
      <c r="W24" s="11"/>
      <c r="X24" s="8"/>
      <c r="Y24" s="11"/>
      <c r="Z24" s="8"/>
      <c r="AA24" s="11"/>
      <c r="AB24" s="7"/>
    </row>
    <row r="25" spans="2:28" ht="9.25" customHeight="1" thickBot="1" x14ac:dyDescent="0.3">
      <c r="B25" s="9" t="s">
        <v>16</v>
      </c>
      <c r="C25" s="9"/>
      <c r="D25" s="12">
        <f>SUM(D39:D56)+D26</f>
        <v>54892787.456767991</v>
      </c>
      <c r="E25" s="13">
        <f>D25/D13</f>
        <v>0.45879333581371706</v>
      </c>
      <c r="F25" s="12">
        <f>SUM(F39:F56)+F26</f>
        <v>54735812.456767991</v>
      </c>
      <c r="G25" s="13">
        <f>F25/F13</f>
        <v>0.47672634873857295</v>
      </c>
      <c r="H25" s="12">
        <f>SUM(H39:H56)+H26</f>
        <v>54866624.956767991</v>
      </c>
      <c r="I25" s="13">
        <f>H25/H13</f>
        <v>0.46168094308166369</v>
      </c>
      <c r="J25" s="12">
        <f>SUM(J39:J56)+J26</f>
        <v>54865129.956767991</v>
      </c>
      <c r="K25" s="13">
        <f>J25/J13</f>
        <v>0.46184713124936227</v>
      </c>
      <c r="L25" s="12">
        <f>SUM(L39:L56)+L26</f>
        <v>54997437.456767991</v>
      </c>
      <c r="M25" s="13">
        <f>L25/L13</f>
        <v>0.44762129032253017</v>
      </c>
      <c r="N25" s="12">
        <f>SUM(N39:N56)+N26</f>
        <v>54791874.956767991</v>
      </c>
      <c r="O25" s="13">
        <f>N25/N13</f>
        <v>0.47015106234516602</v>
      </c>
      <c r="P25" s="12">
        <f>SUM(P39:P56)+P26</f>
        <v>54903999.956767991</v>
      </c>
      <c r="Q25" s="13">
        <f>P25/P13</f>
        <v>0.45756765054685761</v>
      </c>
      <c r="R25" s="12">
        <f>SUM(R39:R56)+R26</f>
        <v>54903999.956767991</v>
      </c>
      <c r="S25" s="13">
        <f>R25/R13</f>
        <v>0.45756765054685761</v>
      </c>
      <c r="T25" s="12">
        <f>SUM(T39:T56)+T26</f>
        <v>54818037.456767991</v>
      </c>
      <c r="U25" s="13">
        <f>T25/T13</f>
        <v>0.4671487520389957</v>
      </c>
      <c r="V25" s="12">
        <f>SUM(V39:V56)+V26</f>
        <v>55081904.956767991</v>
      </c>
      <c r="W25" s="13">
        <f>V25/V13</f>
        <v>0.43902207752574812</v>
      </c>
      <c r="X25" s="12">
        <f>SUM(X39:X56)+X26</f>
        <v>54476706.808619842</v>
      </c>
      <c r="Y25" s="13">
        <f>X25/X13</f>
        <v>0.50987376271381157</v>
      </c>
      <c r="Z25" s="12">
        <f>SUM(Z39:Z56)+Z26</f>
        <v>54750098.012323551</v>
      </c>
      <c r="AA25" s="13">
        <f>Z25/Z13</f>
        <v>0.47503218173229728</v>
      </c>
      <c r="AB25" s="12">
        <f t="shared" ref="AB25:AB38" si="1">SUM(D25:Z25)</f>
        <v>658084419.49662316</v>
      </c>
    </row>
    <row r="26" spans="2:28" ht="11.15" customHeight="1" thickTop="1" x14ac:dyDescent="0.25">
      <c r="B26" s="14" t="s">
        <v>17</v>
      </c>
      <c r="C26" s="15"/>
      <c r="D26" s="16">
        <f>SUM(D27:D38)</f>
        <v>27384912.456767995</v>
      </c>
      <c r="E26" s="17">
        <f t="shared" ref="E26:E38" si="2">D26/D$13</f>
        <v>0.22888280809026623</v>
      </c>
      <c r="F26" s="16">
        <f>SUM(F27:F38)</f>
        <v>27384912.456767995</v>
      </c>
      <c r="G26" s="17">
        <f t="shared" ref="G26:G38" si="3">F26/F$13</f>
        <v>0.2385112916036789</v>
      </c>
      <c r="H26" s="16">
        <f>SUM(H27:H38)</f>
        <v>27384912.456767995</v>
      </c>
      <c r="I26" s="17">
        <f t="shared" ref="I26:I38" si="4">H26/H$13</f>
        <v>0.2304332045065928</v>
      </c>
      <c r="J26" s="16">
        <f>SUM(J27:J38)</f>
        <v>27384912.456767995</v>
      </c>
      <c r="K26" s="17">
        <f t="shared" ref="K26:K38" si="5">J26/J$13</f>
        <v>0.23052243324018684</v>
      </c>
      <c r="L26" s="16">
        <f>SUM(L27:L38)</f>
        <v>27384912.456767995</v>
      </c>
      <c r="M26" s="17">
        <f t="shared" ref="M26:M38" si="6">L26/L$13</f>
        <v>0.22288438182058498</v>
      </c>
      <c r="N26" s="16">
        <f>SUM(N27:N38)</f>
        <v>27384912.456767995</v>
      </c>
      <c r="O26" s="17">
        <f t="shared" ref="O26:O38" si="7">N26/N$13</f>
        <v>0.23498092908734261</v>
      </c>
      <c r="P26" s="16">
        <f>SUM(P27:P38)</f>
        <v>27384912.456767995</v>
      </c>
      <c r="Q26" s="17">
        <f t="shared" ref="Q26:Q38" si="8">P26/P$13</f>
        <v>0.22822472066044949</v>
      </c>
      <c r="R26" s="16">
        <f>SUM(R27:R38)</f>
        <v>27384912.456767995</v>
      </c>
      <c r="S26" s="17">
        <f t="shared" ref="S26:S38" si="9">R26/R$13</f>
        <v>0.22822472066044949</v>
      </c>
      <c r="T26" s="16">
        <f>SUM(T27:T38)</f>
        <v>27384912.456767995</v>
      </c>
      <c r="U26" s="17">
        <f t="shared" ref="U26:U38" si="10">T26/T$13</f>
        <v>0.23336894701794689</v>
      </c>
      <c r="V26" s="16">
        <f>SUM(V27:V38)</f>
        <v>27384912.456767995</v>
      </c>
      <c r="W26" s="17">
        <f t="shared" ref="W26:W38" si="11">V26/V$13</f>
        <v>0.21826734513025939</v>
      </c>
      <c r="X26" s="16">
        <f>SUM(X27:X38)</f>
        <v>27384912.456767995</v>
      </c>
      <c r="Y26" s="17">
        <f t="shared" ref="Y26:Y38" si="12">X26/X$13</f>
        <v>0.25630859818624879</v>
      </c>
      <c r="Z26" s="16">
        <f>SUM(Z27:Z38)</f>
        <v>27384912.456767995</v>
      </c>
      <c r="AA26" s="17">
        <f t="shared" ref="AA26:AA56" si="13">Z26/Z$13</f>
        <v>0.2376016698263877</v>
      </c>
      <c r="AB26" s="18">
        <f t="shared" si="1"/>
        <v>328618952.03182536</v>
      </c>
    </row>
    <row r="27" spans="2:28" ht="11.15" customHeight="1" x14ac:dyDescent="0.25">
      <c r="B27" s="19" t="s">
        <v>18</v>
      </c>
      <c r="C27" s="20"/>
      <c r="D27" s="21">
        <f>+Nómina!$D$46</f>
        <v>15680000</v>
      </c>
      <c r="E27" s="22">
        <f t="shared" si="2"/>
        <v>0.13105327382444878</v>
      </c>
      <c r="F27" s="21">
        <f>+Nómina!$D$46</f>
        <v>15680000</v>
      </c>
      <c r="G27" s="22">
        <f t="shared" si="3"/>
        <v>0.13656633221850614</v>
      </c>
      <c r="H27" s="21">
        <f>+Nómina!$D$46</f>
        <v>15680000</v>
      </c>
      <c r="I27" s="22">
        <f t="shared" si="4"/>
        <v>0.13194099679403573</v>
      </c>
      <c r="J27" s="21">
        <f>+Nómina!$D$46</f>
        <v>15680000</v>
      </c>
      <c r="K27" s="22">
        <f t="shared" si="5"/>
        <v>0.13199208720905761</v>
      </c>
      <c r="L27" s="21">
        <f>+Nómina!$D$46</f>
        <v>15680000</v>
      </c>
      <c r="M27" s="22">
        <f t="shared" si="6"/>
        <v>0.12761870655836441</v>
      </c>
      <c r="N27" s="21">
        <f>+Nómina!$D$46</f>
        <v>15680000</v>
      </c>
      <c r="O27" s="22">
        <f t="shared" si="7"/>
        <v>0.1345449241039634</v>
      </c>
      <c r="P27" s="21">
        <f>+Nómina!$D$46</f>
        <v>15680000</v>
      </c>
      <c r="Q27" s="22">
        <f t="shared" si="8"/>
        <v>0.13067646740172179</v>
      </c>
      <c r="R27" s="21">
        <f>+Nómina!$D$46</f>
        <v>15680000</v>
      </c>
      <c r="S27" s="22">
        <f t="shared" si="9"/>
        <v>0.13067646740172179</v>
      </c>
      <c r="T27" s="21">
        <f>+Nómina!$D$46</f>
        <v>15680000</v>
      </c>
      <c r="U27" s="22">
        <f t="shared" si="10"/>
        <v>0.13362193854072571</v>
      </c>
      <c r="V27" s="21">
        <f>+Nómina!$D$46</f>
        <v>15680000</v>
      </c>
      <c r="W27" s="22">
        <f t="shared" si="11"/>
        <v>0.1249750926553222</v>
      </c>
      <c r="X27" s="21">
        <f>+Nómina!$D$46</f>
        <v>15680000</v>
      </c>
      <c r="Y27" s="22">
        <f t="shared" si="12"/>
        <v>0.14675667946373636</v>
      </c>
      <c r="Z27" s="21">
        <f>+Nómina!$D$46</f>
        <v>15680000</v>
      </c>
      <c r="AA27" s="22">
        <f t="shared" si="13"/>
        <v>0.13604550274751759</v>
      </c>
      <c r="AB27" s="23">
        <f t="shared" si="1"/>
        <v>188160001.46042296</v>
      </c>
    </row>
    <row r="28" spans="2:28" ht="11.15" customHeight="1" x14ac:dyDescent="0.25">
      <c r="B28" s="19" t="s">
        <v>19</v>
      </c>
      <c r="C28" s="20"/>
      <c r="D28" s="21">
        <f>+(D27*0.1)</f>
        <v>1568000</v>
      </c>
      <c r="E28" s="22">
        <f t="shared" si="2"/>
        <v>1.310532738244488E-2</v>
      </c>
      <c r="F28" s="21">
        <f>+(F27*0.1)</f>
        <v>1568000</v>
      </c>
      <c r="G28" s="22">
        <f t="shared" si="3"/>
        <v>1.3656633221850614E-2</v>
      </c>
      <c r="H28" s="21">
        <f>+(H27*0.1)</f>
        <v>1568000</v>
      </c>
      <c r="I28" s="22">
        <f t="shared" si="4"/>
        <v>1.3194099679403572E-2</v>
      </c>
      <c r="J28" s="21">
        <f>+(J27*0.1)</f>
        <v>1568000</v>
      </c>
      <c r="K28" s="22">
        <f t="shared" si="5"/>
        <v>1.3199208720905763E-2</v>
      </c>
      <c r="L28" s="21">
        <f>+(L27*0.1)</f>
        <v>1568000</v>
      </c>
      <c r="M28" s="22">
        <f t="shared" si="6"/>
        <v>1.2761870655836441E-2</v>
      </c>
      <c r="N28" s="21">
        <f>+(N27*0.1)</f>
        <v>1568000</v>
      </c>
      <c r="O28" s="22">
        <f t="shared" si="7"/>
        <v>1.345449241039634E-2</v>
      </c>
      <c r="P28" s="21">
        <f>+(P27*0.1)</f>
        <v>1568000</v>
      </c>
      <c r="Q28" s="22">
        <f t="shared" si="8"/>
        <v>1.3067646740172179E-2</v>
      </c>
      <c r="R28" s="21">
        <f>+(R27*0.1)</f>
        <v>1568000</v>
      </c>
      <c r="S28" s="22">
        <f t="shared" si="9"/>
        <v>1.3067646740172179E-2</v>
      </c>
      <c r="T28" s="21">
        <f>+(T27*0.1)</f>
        <v>1568000</v>
      </c>
      <c r="U28" s="22">
        <f t="shared" si="10"/>
        <v>1.3362193854072571E-2</v>
      </c>
      <c r="V28" s="21">
        <f>+(V27*0.1)</f>
        <v>1568000</v>
      </c>
      <c r="W28" s="22">
        <f t="shared" si="11"/>
        <v>1.249750926553222E-2</v>
      </c>
      <c r="X28" s="21">
        <f>+(X27*0.1)</f>
        <v>1568000</v>
      </c>
      <c r="Y28" s="22">
        <f t="shared" si="12"/>
        <v>1.4675667946373636E-2</v>
      </c>
      <c r="Z28" s="21">
        <f>+(Z27*0.1)</f>
        <v>1568000</v>
      </c>
      <c r="AA28" s="22">
        <f t="shared" si="13"/>
        <v>1.360455027475176E-2</v>
      </c>
      <c r="AB28" s="23">
        <f t="shared" si="1"/>
        <v>18816000.146042295</v>
      </c>
    </row>
    <row r="29" spans="2:28" ht="11.15" customHeight="1" x14ac:dyDescent="0.25">
      <c r="B29" s="19" t="s">
        <v>20</v>
      </c>
      <c r="C29" s="20"/>
      <c r="D29" s="21">
        <f>+'Presupuesto 0'!D28</f>
        <v>1645664</v>
      </c>
      <c r="E29" s="22">
        <f t="shared" si="2"/>
        <v>1.37544422713672E-2</v>
      </c>
      <c r="F29" s="21">
        <f>+'Presupuesto 0'!F28</f>
        <v>1645664</v>
      </c>
      <c r="G29" s="22">
        <f t="shared" si="3"/>
        <v>1.4333054626532888E-2</v>
      </c>
      <c r="H29" s="21">
        <f>+'Presupuesto 0'!H28</f>
        <v>1645664</v>
      </c>
      <c r="I29" s="22">
        <f t="shared" si="4"/>
        <v>1.3847611514544644E-2</v>
      </c>
      <c r="J29" s="21">
        <f>+'Presupuesto 0'!J28</f>
        <v>1645664</v>
      </c>
      <c r="K29" s="22">
        <f t="shared" si="5"/>
        <v>1.3852973610000421E-2</v>
      </c>
      <c r="L29" s="21">
        <f>+'Presupuesto 0'!L28</f>
        <v>1645664</v>
      </c>
      <c r="M29" s="22">
        <f t="shared" si="6"/>
        <v>1.3393973922810215E-2</v>
      </c>
      <c r="N29" s="21">
        <f>+'Presupuesto 0'!N28</f>
        <v>1645664</v>
      </c>
      <c r="O29" s="22">
        <f t="shared" si="7"/>
        <v>1.4120901656927604E-2</v>
      </c>
      <c r="P29" s="21">
        <f>+'Presupuesto 0'!P28</f>
        <v>1645664</v>
      </c>
      <c r="Q29" s="22">
        <f t="shared" si="8"/>
        <v>1.3714895283812952E-2</v>
      </c>
      <c r="R29" s="21">
        <f>+'Presupuesto 0'!R28</f>
        <v>1645664</v>
      </c>
      <c r="S29" s="22">
        <f t="shared" si="9"/>
        <v>1.3714895283812952E-2</v>
      </c>
      <c r="T29" s="21">
        <f>+'Presupuesto 0'!T28</f>
        <v>1645664</v>
      </c>
      <c r="U29" s="22">
        <f t="shared" si="10"/>
        <v>1.4024031496599799E-2</v>
      </c>
      <c r="V29" s="21">
        <f>+'Presupuesto 0'!V28</f>
        <v>1645664</v>
      </c>
      <c r="W29" s="22">
        <f t="shared" si="11"/>
        <v>1.3116518550990316E-2</v>
      </c>
      <c r="X29" s="21">
        <f>+'Presupuesto 0'!X28</f>
        <v>1645664</v>
      </c>
      <c r="Y29" s="22">
        <f t="shared" si="12"/>
        <v>1.5402562764860347E-2</v>
      </c>
      <c r="Z29" s="21">
        <f>+'Presupuesto 0'!Z28</f>
        <v>1645664</v>
      </c>
      <c r="AA29" s="22" t="e">
        <f>Z29/Z$12</f>
        <v>#DIV/0!</v>
      </c>
      <c r="AB29" s="75">
        <f>+D29+F29+H29+J29+L29+P29+R29+T29+V29+X29+Z29+N29</f>
        <v>19747968</v>
      </c>
    </row>
    <row r="30" spans="2:28" ht="11.15" customHeight="1" x14ac:dyDescent="0.25">
      <c r="B30" s="19" t="s">
        <v>21</v>
      </c>
      <c r="C30" s="20"/>
      <c r="D30" s="21">
        <f>0.083333333*($D$27+$D$28)</f>
        <v>1437333.3275839998</v>
      </c>
      <c r="E30" s="22">
        <f t="shared" si="2"/>
        <v>1.201321671918827E-2</v>
      </c>
      <c r="F30" s="21">
        <f>0.083333333*($D$27+$D$28)</f>
        <v>1437333.3275839998</v>
      </c>
      <c r="G30" s="22">
        <f t="shared" si="3"/>
        <v>1.2518580403288739E-2</v>
      </c>
      <c r="H30" s="21">
        <f>0.083333333*($D$27+$D$28)</f>
        <v>1437333.3275839998</v>
      </c>
      <c r="I30" s="22">
        <f t="shared" si="4"/>
        <v>1.2094591324408242E-2</v>
      </c>
      <c r="J30" s="21">
        <f>0.083333333*($D$27+$D$28)</f>
        <v>1437333.3275839998</v>
      </c>
      <c r="K30" s="22">
        <f t="shared" si="5"/>
        <v>1.2099274612433182E-2</v>
      </c>
      <c r="L30" s="21">
        <f>0.083333333*($D$27+$D$28)</f>
        <v>1437333.3275839998</v>
      </c>
      <c r="M30" s="22">
        <f t="shared" si="6"/>
        <v>1.169838138772321E-2</v>
      </c>
      <c r="N30" s="21">
        <f>0.083333333*($D$27+$D$28)</f>
        <v>1437333.3275839998</v>
      </c>
      <c r="O30" s="22">
        <f t="shared" si="7"/>
        <v>1.233328466019684E-2</v>
      </c>
      <c r="P30" s="21">
        <f>0.083333333*($D$27+$D$28)</f>
        <v>1437333.3275839998</v>
      </c>
      <c r="Q30" s="22">
        <f t="shared" si="8"/>
        <v>1.1978676130576458E-2</v>
      </c>
      <c r="R30" s="21">
        <f>0.083333333*($D$27+$D$28)</f>
        <v>1437333.3275839998</v>
      </c>
      <c r="S30" s="22">
        <f t="shared" si="9"/>
        <v>1.1978676130576458E-2</v>
      </c>
      <c r="T30" s="21">
        <f>0.083333333*($D$27+$D$28)</f>
        <v>1437333.3275839998</v>
      </c>
      <c r="U30" s="22">
        <f t="shared" si="10"/>
        <v>1.2248677650571811E-2</v>
      </c>
      <c r="V30" s="21">
        <f>0.083333333*($D$27+$D$28)</f>
        <v>1437333.3275839998</v>
      </c>
      <c r="W30" s="22">
        <f t="shared" si="11"/>
        <v>1.1456050114247E-2</v>
      </c>
      <c r="X30" s="21">
        <f>0.083333333*($D$27+$D$28)</f>
        <v>1437333.3275839998</v>
      </c>
      <c r="Y30" s="22">
        <f t="shared" si="12"/>
        <v>1.3452695563698382E-2</v>
      </c>
      <c r="Z30" s="21">
        <f>0.083333333*($D$27+$D$28)</f>
        <v>1437333.3275839998</v>
      </c>
      <c r="AA30" s="22">
        <f t="shared" si="13"/>
        <v>1.2470837701972427E-2</v>
      </c>
      <c r="AB30" s="23">
        <f t="shared" si="1"/>
        <v>17248000.064880107</v>
      </c>
    </row>
    <row r="31" spans="2:28" ht="11.15" customHeight="1" x14ac:dyDescent="0.25">
      <c r="B31" s="19" t="s">
        <v>22</v>
      </c>
      <c r="C31" s="20"/>
      <c r="D31" s="21">
        <f>0.083333333*($D$27+$D$28)</f>
        <v>1437333.3275839998</v>
      </c>
      <c r="E31" s="22">
        <f t="shared" si="2"/>
        <v>1.201321671918827E-2</v>
      </c>
      <c r="F31" s="21">
        <f>0.083333333*($D$27+$D$28)</f>
        <v>1437333.3275839998</v>
      </c>
      <c r="G31" s="22">
        <f t="shared" si="3"/>
        <v>1.2518580403288739E-2</v>
      </c>
      <c r="H31" s="21">
        <f>0.083333333*($D$27+$D$28)</f>
        <v>1437333.3275839998</v>
      </c>
      <c r="I31" s="22">
        <f t="shared" si="4"/>
        <v>1.2094591324408242E-2</v>
      </c>
      <c r="J31" s="21">
        <f>0.083333333*($D$27+$D$28)</f>
        <v>1437333.3275839998</v>
      </c>
      <c r="K31" s="22">
        <f t="shared" si="5"/>
        <v>1.2099274612433182E-2</v>
      </c>
      <c r="L31" s="21">
        <f>0.083333333*($D$27+$D$28)</f>
        <v>1437333.3275839998</v>
      </c>
      <c r="M31" s="22">
        <f t="shared" si="6"/>
        <v>1.169838138772321E-2</v>
      </c>
      <c r="N31" s="21">
        <f>0.083333333*($D$27+$D$28)</f>
        <v>1437333.3275839998</v>
      </c>
      <c r="O31" s="22">
        <f t="shared" si="7"/>
        <v>1.233328466019684E-2</v>
      </c>
      <c r="P31" s="21">
        <f>0.083333333*($D$27+$D$28)</f>
        <v>1437333.3275839998</v>
      </c>
      <c r="Q31" s="22">
        <f t="shared" si="8"/>
        <v>1.1978676130576458E-2</v>
      </c>
      <c r="R31" s="21">
        <f>0.083333333*($D$27+$D$28)</f>
        <v>1437333.3275839998</v>
      </c>
      <c r="S31" s="22">
        <f t="shared" si="9"/>
        <v>1.1978676130576458E-2</v>
      </c>
      <c r="T31" s="21">
        <f>0.083333333*($D$27+$D$28)</f>
        <v>1437333.3275839998</v>
      </c>
      <c r="U31" s="22">
        <f t="shared" si="10"/>
        <v>1.2248677650571811E-2</v>
      </c>
      <c r="V31" s="21">
        <f>0.083333333*($D$27+$D$28)</f>
        <v>1437333.3275839998</v>
      </c>
      <c r="W31" s="22">
        <f t="shared" si="11"/>
        <v>1.1456050114247E-2</v>
      </c>
      <c r="X31" s="21">
        <f>0.083333333*($D$27+$D$28)</f>
        <v>1437333.3275839998</v>
      </c>
      <c r="Y31" s="22">
        <f t="shared" si="12"/>
        <v>1.3452695563698382E-2</v>
      </c>
      <c r="Z31" s="21">
        <f>0.083333333*($D$27+$D$28)</f>
        <v>1437333.3275839998</v>
      </c>
      <c r="AA31" s="22">
        <f t="shared" si="13"/>
        <v>1.2470837701972427E-2</v>
      </c>
      <c r="AB31" s="23">
        <f t="shared" si="1"/>
        <v>17248000.064880107</v>
      </c>
    </row>
    <row r="32" spans="2:28" ht="11.15" customHeight="1" x14ac:dyDescent="0.25">
      <c r="B32" s="19" t="s">
        <v>23</v>
      </c>
      <c r="C32" s="20"/>
      <c r="D32" s="21">
        <f>0.0416667*($D$27+$D$28)</f>
        <v>718667.24160000007</v>
      </c>
      <c r="E32" s="22">
        <f t="shared" si="2"/>
        <v>6.006613188907277E-3</v>
      </c>
      <c r="F32" s="21">
        <f>0.0416667*($D$27+$D$28)</f>
        <v>718667.24160000007</v>
      </c>
      <c r="G32" s="22">
        <f t="shared" si="3"/>
        <v>6.2592952341137126E-3</v>
      </c>
      <c r="H32" s="21">
        <f>0.0416667*($D$27+$D$28)</f>
        <v>718667.24160000007</v>
      </c>
      <c r="I32" s="22">
        <f t="shared" si="4"/>
        <v>6.0473005242298542E-3</v>
      </c>
      <c r="J32" s="21">
        <f>0.0416667*($D$27+$D$28)</f>
        <v>718667.24160000007</v>
      </c>
      <c r="K32" s="22">
        <f t="shared" si="5"/>
        <v>6.0496421701250061E-3</v>
      </c>
      <c r="L32" s="21">
        <f>0.0416667*($D$27+$D$28)</f>
        <v>718667.24160000007</v>
      </c>
      <c r="M32" s="22">
        <f t="shared" si="6"/>
        <v>5.8491953966109426E-3</v>
      </c>
      <c r="N32" s="21">
        <f>0.0416667*($D$27+$D$28)</f>
        <v>718667.24160000007</v>
      </c>
      <c r="O32" s="22">
        <f t="shared" si="7"/>
        <v>6.1666472880788741E-3</v>
      </c>
      <c r="P32" s="21">
        <f>0.0416667*($D$27+$D$28)</f>
        <v>718667.24160000007</v>
      </c>
      <c r="Q32" s="22">
        <f t="shared" si="8"/>
        <v>5.9893428807160538E-3</v>
      </c>
      <c r="R32" s="21">
        <f>0.0416667*($D$27+$D$28)</f>
        <v>718667.24160000007</v>
      </c>
      <c r="S32" s="22">
        <f t="shared" si="9"/>
        <v>5.9893428807160538E-3</v>
      </c>
      <c r="T32" s="21">
        <f>0.0416667*($D$27+$D$28)</f>
        <v>718667.24160000007</v>
      </c>
      <c r="U32" s="22">
        <f t="shared" si="10"/>
        <v>6.1243437492543426E-3</v>
      </c>
      <c r="V32" s="21">
        <f>0.0416667*($D$27+$D$28)</f>
        <v>718667.24160000007</v>
      </c>
      <c r="W32" s="22">
        <f t="shared" si="11"/>
        <v>5.7280296624556658E-3</v>
      </c>
      <c r="X32" s="21">
        <f>0.0416667*($D$27+$D$28)</f>
        <v>718667.24160000007</v>
      </c>
      <c r="Y32" s="22">
        <f t="shared" si="12"/>
        <v>6.7263531898328309E-3</v>
      </c>
      <c r="Z32" s="21">
        <f>0.0416667*($D$27+$D$28)</f>
        <v>718667.24160000007</v>
      </c>
      <c r="AA32" s="22">
        <f t="shared" si="13"/>
        <v>6.2354238642629914E-3</v>
      </c>
      <c r="AB32" s="23">
        <f t="shared" si="1"/>
        <v>8624006.9661361072</v>
      </c>
    </row>
    <row r="33" spans="1:28" ht="11.15" customHeight="1" x14ac:dyDescent="0.25">
      <c r="B33" s="19" t="s">
        <v>24</v>
      </c>
      <c r="C33" s="20"/>
      <c r="D33" s="21">
        <f>0.00522*(D27+D28)</f>
        <v>90034.559999999998</v>
      </c>
      <c r="E33" s="22">
        <f t="shared" si="2"/>
        <v>7.5250789829998499E-4</v>
      </c>
      <c r="F33" s="21">
        <f>0.00522*(F27+F28)</f>
        <v>90034.559999999998</v>
      </c>
      <c r="G33" s="22">
        <f t="shared" si="3"/>
        <v>7.8416387959866218E-4</v>
      </c>
      <c r="H33" s="21">
        <f>0.00522*(H27+H28)</f>
        <v>90034.559999999998</v>
      </c>
      <c r="I33" s="22">
        <f t="shared" si="4"/>
        <v>7.5760520359135315E-4</v>
      </c>
      <c r="J33" s="21">
        <f>0.00522*(J27+J28)</f>
        <v>90034.559999999998</v>
      </c>
      <c r="K33" s="22">
        <f t="shared" si="5"/>
        <v>7.5789856475440883E-4</v>
      </c>
      <c r="L33" s="21">
        <f>0.00522*(L27+L28)</f>
        <v>90034.559999999998</v>
      </c>
      <c r="M33" s="22">
        <f t="shared" si="6"/>
        <v>7.3278661305812838E-4</v>
      </c>
      <c r="N33" s="21">
        <f>0.00522*(N27+N28)</f>
        <v>90034.559999999998</v>
      </c>
      <c r="O33" s="22">
        <f t="shared" si="7"/>
        <v>7.7255695420495787E-4</v>
      </c>
      <c r="P33" s="21">
        <f>0.00522*(P27+P28)</f>
        <v>90034.559999999998</v>
      </c>
      <c r="Q33" s="22">
        <f t="shared" si="8"/>
        <v>7.5034427582068651E-4</v>
      </c>
      <c r="R33" s="21">
        <f>0.00522*(R27+R28)</f>
        <v>90034.559999999998</v>
      </c>
      <c r="S33" s="22">
        <f t="shared" si="9"/>
        <v>7.5034427582068651E-4</v>
      </c>
      <c r="T33" s="21">
        <f>0.00522*(T27+T28)</f>
        <v>90034.559999999998</v>
      </c>
      <c r="U33" s="22">
        <f t="shared" si="10"/>
        <v>7.6725717110084706E-4</v>
      </c>
      <c r="V33" s="21">
        <f>0.00522*(V27+V28)</f>
        <v>90034.559999999998</v>
      </c>
      <c r="W33" s="22">
        <f t="shared" si="11"/>
        <v>7.1760698202686009E-4</v>
      </c>
      <c r="X33" s="21">
        <f>0.00522*(X27+X28)</f>
        <v>90034.559999999998</v>
      </c>
      <c r="Y33" s="22">
        <f t="shared" si="12"/>
        <v>8.4267685348077411E-4</v>
      </c>
      <c r="Z33" s="21">
        <f>0.00522*(Z27+Z28)</f>
        <v>90034.559999999998</v>
      </c>
      <c r="AA33" s="22">
        <f t="shared" si="13"/>
        <v>7.8117327677624604E-4</v>
      </c>
      <c r="AB33" s="23">
        <f t="shared" si="1"/>
        <v>1080414.7283857486</v>
      </c>
    </row>
    <row r="34" spans="1:28" ht="11.15" customHeight="1" x14ac:dyDescent="0.25">
      <c r="B34" s="19" t="s">
        <v>25</v>
      </c>
      <c r="C34" s="20"/>
      <c r="D34" s="21">
        <f>0.08*(D27+D28)</f>
        <v>1379840</v>
      </c>
      <c r="E34" s="22">
        <f t="shared" si="2"/>
        <v>1.1532688096551494E-2</v>
      </c>
      <c r="F34" s="21">
        <f>0.08*(F27+F28)</f>
        <v>1379840</v>
      </c>
      <c r="G34" s="22">
        <f t="shared" si="3"/>
        <v>1.201783723522854E-2</v>
      </c>
      <c r="H34" s="21">
        <f>0.08*(H27+H28)</f>
        <v>1379840</v>
      </c>
      <c r="I34" s="22">
        <f t="shared" si="4"/>
        <v>1.1610807717875144E-2</v>
      </c>
      <c r="J34" s="21">
        <f>0.08*(J27+J28)</f>
        <v>1379840</v>
      </c>
      <c r="K34" s="22">
        <f t="shared" si="5"/>
        <v>1.161530367439707E-2</v>
      </c>
      <c r="L34" s="21">
        <f>0.08*(L27+L28)</f>
        <v>1379840</v>
      </c>
      <c r="M34" s="22">
        <f t="shared" si="6"/>
        <v>1.1230446177136068E-2</v>
      </c>
      <c r="N34" s="21">
        <f>0.08*(N27+N28)</f>
        <v>1379840</v>
      </c>
      <c r="O34" s="22">
        <f t="shared" si="7"/>
        <v>1.183995332114878E-2</v>
      </c>
      <c r="P34" s="21">
        <f>0.08*(P27+P28)</f>
        <v>1379840</v>
      </c>
      <c r="Q34" s="22">
        <f t="shared" si="8"/>
        <v>1.1499529131351518E-2</v>
      </c>
      <c r="R34" s="21">
        <f>0.08*(R27+R28)</f>
        <v>1379840</v>
      </c>
      <c r="S34" s="22">
        <f t="shared" si="9"/>
        <v>1.1499529131351518E-2</v>
      </c>
      <c r="T34" s="21">
        <f>0.08*(T27+T28)</f>
        <v>1379840</v>
      </c>
      <c r="U34" s="22">
        <f t="shared" si="10"/>
        <v>1.1758730591583864E-2</v>
      </c>
      <c r="V34" s="21">
        <f>0.08*(V27+V28)</f>
        <v>1379840</v>
      </c>
      <c r="W34" s="22">
        <f t="shared" si="11"/>
        <v>1.0997808153668354E-2</v>
      </c>
      <c r="X34" s="21">
        <f>0.08*(X27+X28)</f>
        <v>1379840</v>
      </c>
      <c r="Y34" s="22">
        <f t="shared" si="12"/>
        <v>1.2914587792808799E-2</v>
      </c>
      <c r="Z34" s="21">
        <f>0.08*(Z27+Z28)</f>
        <v>1379840</v>
      </c>
      <c r="AA34" s="22">
        <f t="shared" si="13"/>
        <v>1.1972004241781549E-2</v>
      </c>
      <c r="AB34" s="23">
        <f t="shared" si="1"/>
        <v>16558080.128517222</v>
      </c>
    </row>
    <row r="35" spans="1:28" ht="11.15" customHeight="1" x14ac:dyDescent="0.25">
      <c r="B35" s="19" t="s">
        <v>26</v>
      </c>
      <c r="C35" s="20"/>
      <c r="D35" s="21">
        <f>0.10875*(D27+D28)</f>
        <v>1875720</v>
      </c>
      <c r="E35" s="22">
        <f t="shared" si="2"/>
        <v>1.5677247881249686E-2</v>
      </c>
      <c r="F35" s="21">
        <f>0.10875*(F27+F28)</f>
        <v>1875720</v>
      </c>
      <c r="G35" s="22">
        <f t="shared" si="3"/>
        <v>1.6336747491638794E-2</v>
      </c>
      <c r="H35" s="21">
        <f>0.10875*(H27+H28)</f>
        <v>1875720</v>
      </c>
      <c r="I35" s="22">
        <f t="shared" si="4"/>
        <v>1.5783441741486524E-2</v>
      </c>
      <c r="J35" s="21">
        <f>0.10875*(J27+J28)</f>
        <v>1875720</v>
      </c>
      <c r="K35" s="22">
        <f t="shared" si="5"/>
        <v>1.5789553432383519E-2</v>
      </c>
      <c r="L35" s="21">
        <f>0.10875*(L27+L28)</f>
        <v>1875720</v>
      </c>
      <c r="M35" s="22">
        <f t="shared" si="6"/>
        <v>1.5266387772044341E-2</v>
      </c>
      <c r="N35" s="21">
        <f>0.10875*(N27+N28)</f>
        <v>1875720</v>
      </c>
      <c r="O35" s="22">
        <f t="shared" si="7"/>
        <v>1.6094936545936623E-2</v>
      </c>
      <c r="P35" s="21">
        <f>0.10875*(P27+P28)</f>
        <v>1875720</v>
      </c>
      <c r="Q35" s="22">
        <f t="shared" si="8"/>
        <v>1.563217241293097E-2</v>
      </c>
      <c r="R35" s="21">
        <f>0.10875*(R27+R28)</f>
        <v>1875720</v>
      </c>
      <c r="S35" s="22">
        <f t="shared" si="9"/>
        <v>1.563217241293097E-2</v>
      </c>
      <c r="T35" s="21">
        <f>0.10875*(T27+T28)</f>
        <v>1875720</v>
      </c>
      <c r="U35" s="22">
        <f t="shared" si="10"/>
        <v>1.5984524397934314E-2</v>
      </c>
      <c r="V35" s="21">
        <f>0.10875*(V27+V28)</f>
        <v>1875720</v>
      </c>
      <c r="W35" s="22">
        <f t="shared" si="11"/>
        <v>1.4950145458892918E-2</v>
      </c>
      <c r="X35" s="21">
        <f>0.10875*(X27+X28)</f>
        <v>1875720</v>
      </c>
      <c r="Y35" s="22">
        <f t="shared" si="12"/>
        <v>1.7555767780849461E-2</v>
      </c>
      <c r="Z35" s="21">
        <f>0.10875*(Z27+Z28)</f>
        <v>1875720</v>
      </c>
      <c r="AA35" s="22">
        <f t="shared" si="13"/>
        <v>1.6274443266171792E-2</v>
      </c>
      <c r="AB35" s="23">
        <f t="shared" si="1"/>
        <v>22508640.174703103</v>
      </c>
    </row>
    <row r="36" spans="1:28" ht="11.15" customHeight="1" x14ac:dyDescent="0.25">
      <c r="B36" s="19" t="s">
        <v>27</v>
      </c>
      <c r="C36" s="20"/>
      <c r="D36" s="21">
        <f>0.04*($D$27+$D$28)</f>
        <v>689920</v>
      </c>
      <c r="E36" s="22">
        <f t="shared" si="2"/>
        <v>5.7663440482757468E-3</v>
      </c>
      <c r="F36" s="21">
        <f>0.04*($D$27+$D$28)</f>
        <v>689920</v>
      </c>
      <c r="G36" s="22">
        <f t="shared" si="3"/>
        <v>6.0089186176142699E-3</v>
      </c>
      <c r="H36" s="21">
        <f>0.04*($D$27+$D$28)</f>
        <v>689920</v>
      </c>
      <c r="I36" s="22">
        <f t="shared" si="4"/>
        <v>5.8054038589375719E-3</v>
      </c>
      <c r="J36" s="21">
        <f>0.04*($D$27+$D$28)</f>
        <v>689920</v>
      </c>
      <c r="K36" s="22">
        <f t="shared" si="5"/>
        <v>5.8076518371985349E-3</v>
      </c>
      <c r="L36" s="21">
        <f>0.04*($D$27+$D$28)</f>
        <v>689920</v>
      </c>
      <c r="M36" s="22">
        <f t="shared" si="6"/>
        <v>5.6152230885680339E-3</v>
      </c>
      <c r="N36" s="21">
        <f>0.04*($D$27+$D$28)</f>
        <v>689920</v>
      </c>
      <c r="O36" s="22">
        <f t="shared" si="7"/>
        <v>5.9199766605743899E-3</v>
      </c>
      <c r="P36" s="21">
        <f>0.04*($D$27+$D$28)</f>
        <v>689920</v>
      </c>
      <c r="Q36" s="22">
        <f t="shared" si="8"/>
        <v>5.7497645656757589E-3</v>
      </c>
      <c r="R36" s="21">
        <f>0.04*($D$27+$D$28)</f>
        <v>689920</v>
      </c>
      <c r="S36" s="22">
        <f t="shared" si="9"/>
        <v>5.7497645656757589E-3</v>
      </c>
      <c r="T36" s="21">
        <f>0.04*($D$27+$D$28)</f>
        <v>689920</v>
      </c>
      <c r="U36" s="22">
        <f t="shared" si="10"/>
        <v>5.8793652957919319E-3</v>
      </c>
      <c r="V36" s="21">
        <f>0.04*($D$27+$D$28)</f>
        <v>689920</v>
      </c>
      <c r="W36" s="22">
        <f t="shared" si="11"/>
        <v>5.4989040768341768E-3</v>
      </c>
      <c r="X36" s="21">
        <f>0.04*($D$27+$D$28)</f>
        <v>689920</v>
      </c>
      <c r="Y36" s="22">
        <f t="shared" si="12"/>
        <v>6.4572938964043997E-3</v>
      </c>
      <c r="Z36" s="21">
        <f>0.04*($D$27+$D$28)</f>
        <v>689920</v>
      </c>
      <c r="AA36" s="22">
        <f t="shared" si="13"/>
        <v>5.9860021208907746E-3</v>
      </c>
      <c r="AB36" s="23">
        <f t="shared" si="1"/>
        <v>8279040.0642586108</v>
      </c>
    </row>
    <row r="37" spans="1:28" ht="11.15" customHeight="1" x14ac:dyDescent="0.25">
      <c r="B37" s="19" t="s">
        <v>28</v>
      </c>
      <c r="C37" s="20"/>
      <c r="D37" s="21">
        <f>0.02*($D$27+$D$28)</f>
        <v>344960</v>
      </c>
      <c r="E37" s="22">
        <f t="shared" si="2"/>
        <v>2.8831720241378734E-3</v>
      </c>
      <c r="F37" s="21">
        <f>0.02*($D$27+$D$28)</f>
        <v>344960</v>
      </c>
      <c r="G37" s="22">
        <f t="shared" si="3"/>
        <v>3.0044593088071349E-3</v>
      </c>
      <c r="H37" s="21">
        <f>0.02*($D$27+$D$28)</f>
        <v>344960</v>
      </c>
      <c r="I37" s="22">
        <f t="shared" si="4"/>
        <v>2.9027019294687859E-3</v>
      </c>
      <c r="J37" s="21">
        <f>0.02*($D$27+$D$28)</f>
        <v>344960</v>
      </c>
      <c r="K37" s="22">
        <f t="shared" si="5"/>
        <v>2.9038259185992675E-3</v>
      </c>
      <c r="L37" s="21">
        <f>0.02*($D$27+$D$28)</f>
        <v>344960</v>
      </c>
      <c r="M37" s="22">
        <f t="shared" si="6"/>
        <v>2.8076115442840169E-3</v>
      </c>
      <c r="N37" s="21">
        <f>0.02*($D$27+$D$28)</f>
        <v>344960</v>
      </c>
      <c r="O37" s="22">
        <f t="shared" si="7"/>
        <v>2.9599883302871949E-3</v>
      </c>
      <c r="P37" s="21">
        <f>0.02*($D$27+$D$28)</f>
        <v>344960</v>
      </c>
      <c r="Q37" s="22">
        <f t="shared" si="8"/>
        <v>2.8748822828378795E-3</v>
      </c>
      <c r="R37" s="21">
        <f>0.02*($D$27+$D$28)</f>
        <v>344960</v>
      </c>
      <c r="S37" s="22">
        <f t="shared" si="9"/>
        <v>2.8748822828378795E-3</v>
      </c>
      <c r="T37" s="21">
        <f>0.02*($D$27+$D$28)</f>
        <v>344960</v>
      </c>
      <c r="U37" s="22">
        <f t="shared" si="10"/>
        <v>2.9396826478959659E-3</v>
      </c>
      <c r="V37" s="21">
        <f>0.02*($D$27+$D$28)</f>
        <v>344960</v>
      </c>
      <c r="W37" s="22">
        <f t="shared" si="11"/>
        <v>2.7494520384170884E-3</v>
      </c>
      <c r="X37" s="21">
        <f>0.02*($D$27+$D$28)</f>
        <v>344960</v>
      </c>
      <c r="Y37" s="22">
        <f t="shared" si="12"/>
        <v>3.2286469482021999E-3</v>
      </c>
      <c r="Z37" s="21">
        <f>0.02*($D$27+$D$28)</f>
        <v>344960</v>
      </c>
      <c r="AA37" s="22">
        <f t="shared" si="13"/>
        <v>2.9930010604453873E-3</v>
      </c>
      <c r="AB37" s="23">
        <f t="shared" si="1"/>
        <v>4139520.0321293054</v>
      </c>
    </row>
    <row r="38" spans="1:28" ht="11.15" customHeight="1" thickBot="1" x14ac:dyDescent="0.3">
      <c r="B38" s="24" t="s">
        <v>29</v>
      </c>
      <c r="C38" s="25"/>
      <c r="D38" s="26">
        <f>0.03*($D$27+$D$28)</f>
        <v>517440</v>
      </c>
      <c r="E38" s="27">
        <f t="shared" si="2"/>
        <v>4.3247580362068098E-3</v>
      </c>
      <c r="F38" s="26">
        <f>0.03*($D$27+$D$28)</f>
        <v>517440</v>
      </c>
      <c r="G38" s="27">
        <f t="shared" si="3"/>
        <v>4.5066889632107022E-3</v>
      </c>
      <c r="H38" s="26">
        <f>0.03*($D$27+$D$28)</f>
        <v>517440</v>
      </c>
      <c r="I38" s="27">
        <f t="shared" si="4"/>
        <v>4.3540528942031791E-3</v>
      </c>
      <c r="J38" s="26">
        <f>0.03*($D$27+$D$28)</f>
        <v>517440</v>
      </c>
      <c r="K38" s="27">
        <f t="shared" si="5"/>
        <v>4.3557388778989016E-3</v>
      </c>
      <c r="L38" s="26">
        <f>0.03*($D$27+$D$28)</f>
        <v>517440</v>
      </c>
      <c r="M38" s="27">
        <f t="shared" si="6"/>
        <v>4.2114173164260254E-3</v>
      </c>
      <c r="N38" s="26">
        <f>0.03*($D$27+$D$28)</f>
        <v>517440</v>
      </c>
      <c r="O38" s="27">
        <f t="shared" si="7"/>
        <v>4.4399824954307922E-3</v>
      </c>
      <c r="P38" s="26">
        <f>0.03*($D$27+$D$28)</f>
        <v>517440</v>
      </c>
      <c r="Q38" s="27">
        <f t="shared" si="8"/>
        <v>4.3123234242568196E-3</v>
      </c>
      <c r="R38" s="26">
        <f>0.03*($D$27+$D$28)</f>
        <v>517440</v>
      </c>
      <c r="S38" s="27">
        <f t="shared" si="9"/>
        <v>4.3123234242568196E-3</v>
      </c>
      <c r="T38" s="26">
        <f>0.03*($D$27+$D$28)</f>
        <v>517440</v>
      </c>
      <c r="U38" s="27">
        <f t="shared" si="10"/>
        <v>4.4095239718439485E-3</v>
      </c>
      <c r="V38" s="26">
        <f>0.03*($D$27+$D$28)</f>
        <v>517440</v>
      </c>
      <c r="W38" s="27">
        <f t="shared" si="11"/>
        <v>4.1241780576256326E-3</v>
      </c>
      <c r="X38" s="26">
        <f>0.03*($D$27+$D$28)</f>
        <v>517440</v>
      </c>
      <c r="Y38" s="27">
        <f t="shared" si="12"/>
        <v>4.8429704223032994E-3</v>
      </c>
      <c r="Z38" s="26">
        <f>0.03*($D$27+$D$28)</f>
        <v>517440</v>
      </c>
      <c r="AA38" s="27">
        <f t="shared" si="13"/>
        <v>4.4895015906680803E-3</v>
      </c>
      <c r="AB38" s="28">
        <f t="shared" si="1"/>
        <v>6209280.0481939577</v>
      </c>
    </row>
    <row r="39" spans="1:28" ht="11.15" customHeight="1" thickTop="1" x14ac:dyDescent="0.25">
      <c r="B39" s="68" t="str">
        <f>+'Presupuesto 0'!B38</f>
        <v>PAGO OFICINAS</v>
      </c>
      <c r="C39" s="74"/>
      <c r="D39" s="54">
        <f>($D5+D6+D7)*0.05</f>
        <v>5982300</v>
      </c>
      <c r="E39" s="53">
        <f>+E13*0.04</f>
        <v>0</v>
      </c>
      <c r="F39" s="54">
        <f>($D5+F6+F7)*0.05</f>
        <v>5885700</v>
      </c>
      <c r="G39" s="53">
        <f t="shared" ref="G39:AA39" si="14">+G13*$C$39</f>
        <v>0</v>
      </c>
      <c r="H39" s="54">
        <f>($D5+H6+H7)*0.05</f>
        <v>5966200</v>
      </c>
      <c r="I39" s="53">
        <f t="shared" si="14"/>
        <v>0</v>
      </c>
      <c r="J39" s="54">
        <f>($D5+J6+J7)*0.05</f>
        <v>5965280</v>
      </c>
      <c r="K39" s="53">
        <f t="shared" si="14"/>
        <v>0</v>
      </c>
      <c r="L39" s="54">
        <f>($D5+L6+L7)*0.05</f>
        <v>6046700</v>
      </c>
      <c r="M39" s="53">
        <f t="shared" si="14"/>
        <v>0</v>
      </c>
      <c r="N39" s="54">
        <f>($D5+N6+N7)*0.05</f>
        <v>5920200</v>
      </c>
      <c r="O39" s="53">
        <f t="shared" si="14"/>
        <v>0</v>
      </c>
      <c r="P39" s="54">
        <f>($D5+P6+P7)*0.05</f>
        <v>5989200</v>
      </c>
      <c r="Q39" s="53">
        <f t="shared" si="14"/>
        <v>0</v>
      </c>
      <c r="R39" s="54">
        <f>($D5+R6+R7)*0.05</f>
        <v>5989200</v>
      </c>
      <c r="S39" s="53">
        <f t="shared" si="14"/>
        <v>0</v>
      </c>
      <c r="T39" s="54">
        <f>($D5+T6+T7)*0.05</f>
        <v>5936300</v>
      </c>
      <c r="U39" s="53">
        <f t="shared" si="14"/>
        <v>0</v>
      </c>
      <c r="V39" s="54">
        <f>($D5+V6+V7)*0.05</f>
        <v>6098680</v>
      </c>
      <c r="W39" s="53">
        <f t="shared" si="14"/>
        <v>0</v>
      </c>
      <c r="X39" s="54">
        <f>($D5+X6+X7)*0.05</f>
        <v>5726250.3703703703</v>
      </c>
      <c r="Y39" s="53">
        <f t="shared" si="14"/>
        <v>0</v>
      </c>
      <c r="Z39" s="54">
        <f>($D5+Z6+Z7)*0.05</f>
        <v>5894491.111111111</v>
      </c>
      <c r="AA39" s="42">
        <f t="shared" si="14"/>
        <v>0</v>
      </c>
      <c r="AB39" s="43">
        <f>+D39+F39+H39+J39+L39+P39+R39+T39+V39+X39+Z39+N39</f>
        <v>71400501.481481493</v>
      </c>
    </row>
    <row r="40" spans="1:28" ht="11.15" customHeight="1" x14ac:dyDescent="0.25">
      <c r="B40" s="69" t="s">
        <v>30</v>
      </c>
      <c r="C40" s="56"/>
      <c r="D40" s="54">
        <f>(D5+D6+D7)*0.01</f>
        <v>1196460</v>
      </c>
      <c r="E40" s="44">
        <f>D40/D$13</f>
        <v>0.01</v>
      </c>
      <c r="F40" s="54">
        <f>(F5+F6+F7)*0.01</f>
        <v>1148160</v>
      </c>
      <c r="G40" s="44">
        <f>F40/F$13</f>
        <v>0.01</v>
      </c>
      <c r="H40" s="54">
        <f>(H5+H6+H7)*0.01</f>
        <v>1188410</v>
      </c>
      <c r="I40" s="44">
        <f>H40/H$13</f>
        <v>0.01</v>
      </c>
      <c r="J40" s="54">
        <f>(J5+J6+J7)*0.01</f>
        <v>1187950</v>
      </c>
      <c r="K40" s="44">
        <f>J40/J$13</f>
        <v>0.01</v>
      </c>
      <c r="L40" s="54">
        <f>(L5+L6+L7)*0.01</f>
        <v>1228660</v>
      </c>
      <c r="M40" s="44">
        <f>L40/L$13</f>
        <v>0.01</v>
      </c>
      <c r="N40" s="54">
        <f>(N5+N6+N7)*0.01</f>
        <v>1165410</v>
      </c>
      <c r="O40" s="44">
        <f>N40/N$13</f>
        <v>0.01</v>
      </c>
      <c r="P40" s="54">
        <f>(P5+P6+P7)*0.01</f>
        <v>1199910</v>
      </c>
      <c r="Q40" s="44">
        <f>P40/P$13</f>
        <v>0.01</v>
      </c>
      <c r="R40" s="54">
        <f>(R5+R6+R7)*0.01</f>
        <v>1199910</v>
      </c>
      <c r="S40" s="44">
        <f>R40/R$13</f>
        <v>0.01</v>
      </c>
      <c r="T40" s="54">
        <f>(T5+T6+T7)*0.01</f>
        <v>1173460</v>
      </c>
      <c r="U40" s="44">
        <f>T40/T$13</f>
        <v>0.01</v>
      </c>
      <c r="V40" s="54">
        <f>(V5+V6+V7)*0.01</f>
        <v>1254650</v>
      </c>
      <c r="W40" s="44">
        <f>V40/V$13</f>
        <v>0.01</v>
      </c>
      <c r="X40" s="54">
        <f>(X5+X6+X7)*0.01</f>
        <v>1068435.1851851852</v>
      </c>
      <c r="Y40" s="44">
        <f>X40/X$13</f>
        <v>0.01</v>
      </c>
      <c r="Z40" s="54">
        <f>(Z5+Z6+Z7)*0.01</f>
        <v>1152555.5555555555</v>
      </c>
      <c r="AA40" s="44">
        <f t="shared" si="13"/>
        <v>0.01</v>
      </c>
      <c r="AB40" s="43">
        <f>+D40+F40+H40+J40+L40+P40+R40+T40+V40+X40+Z40+N40</f>
        <v>14163970.740740741</v>
      </c>
    </row>
    <row r="41" spans="1:28" ht="11.15" customHeight="1" x14ac:dyDescent="0.25">
      <c r="B41" s="69" t="s">
        <v>31</v>
      </c>
      <c r="C41" s="56"/>
      <c r="D41" s="54">
        <f>(D5+D6+D7)*0.0025</f>
        <v>299115</v>
      </c>
      <c r="E41" s="44"/>
      <c r="F41" s="54">
        <f>(F5+F6+F7)*0.0025</f>
        <v>287040</v>
      </c>
      <c r="G41" s="44"/>
      <c r="H41" s="54">
        <f>(H5+H6+H7)*0.0025</f>
        <v>297102.5</v>
      </c>
      <c r="I41" s="44"/>
      <c r="J41" s="54">
        <f>(J5+J6+J7)*0.0025</f>
        <v>296987.5</v>
      </c>
      <c r="K41" s="44"/>
      <c r="L41" s="54">
        <f>(L5+L6+L7)*0.0025</f>
        <v>307165</v>
      </c>
      <c r="M41" s="44"/>
      <c r="N41" s="54">
        <f>(N5+N6+N7)*0.0025</f>
        <v>291352.5</v>
      </c>
      <c r="O41" s="44"/>
      <c r="P41" s="54">
        <f>(P5+P6+P7)*0.0025</f>
        <v>299977.5</v>
      </c>
      <c r="Q41" s="44"/>
      <c r="R41" s="54">
        <f>(R5+R6+R7)*0.0025</f>
        <v>299977.5</v>
      </c>
      <c r="S41" s="44"/>
      <c r="T41" s="54">
        <f>(T5+T6+T7)*0.0025</f>
        <v>293365</v>
      </c>
      <c r="U41" s="44"/>
      <c r="V41" s="54">
        <f>(V5+V6+V7)*0.0025</f>
        <v>313662.5</v>
      </c>
      <c r="W41" s="44"/>
      <c r="X41" s="54">
        <f>(X5+X6+X7)*0.0025</f>
        <v>267108.79629629629</v>
      </c>
      <c r="Y41" s="44"/>
      <c r="Z41" s="54">
        <f>(Z5+Z6+Z7)*0.0025</f>
        <v>288138.88888888888</v>
      </c>
      <c r="AA41" s="44">
        <f t="shared" si="13"/>
        <v>2.5000000000000001E-3</v>
      </c>
      <c r="AB41" s="54">
        <f>(AB6+AB7+AB5)*0.0025</f>
        <v>3540992.6851851856</v>
      </c>
    </row>
    <row r="42" spans="1:28" ht="11.15" customHeight="1" x14ac:dyDescent="0.25">
      <c r="A42" s="107" t="s">
        <v>66</v>
      </c>
      <c r="B42" s="69" t="s">
        <v>32</v>
      </c>
      <c r="C42" s="56"/>
      <c r="D42" s="54">
        <f>+Nómina!$D$51</f>
        <v>7140000</v>
      </c>
      <c r="E42" s="54">
        <v>1000000</v>
      </c>
      <c r="F42" s="54">
        <f>+Nómina!$D$51</f>
        <v>7140000</v>
      </c>
      <c r="G42" s="54">
        <v>1000000</v>
      </c>
      <c r="H42" s="54">
        <f>+Nómina!$D$51</f>
        <v>7140000</v>
      </c>
      <c r="I42" s="54">
        <v>1000000</v>
      </c>
      <c r="J42" s="54">
        <f>+Nómina!$D$51</f>
        <v>7140000</v>
      </c>
      <c r="K42" s="54">
        <v>1000000</v>
      </c>
      <c r="L42" s="54">
        <f>+Nómina!$D$51</f>
        <v>7140000</v>
      </c>
      <c r="M42" s="54">
        <v>1000000</v>
      </c>
      <c r="N42" s="54">
        <f>+Nómina!$D$51</f>
        <v>7140000</v>
      </c>
      <c r="O42" s="54">
        <v>1000000</v>
      </c>
      <c r="P42" s="54">
        <f>+Nómina!$D$51</f>
        <v>7140000</v>
      </c>
      <c r="Q42" s="54">
        <v>1000000</v>
      </c>
      <c r="R42" s="54">
        <f>+Nómina!$D$51</f>
        <v>7140000</v>
      </c>
      <c r="S42" s="54">
        <v>1000000</v>
      </c>
      <c r="T42" s="54">
        <f>+Nómina!$D$51</f>
        <v>7140000</v>
      </c>
      <c r="U42" s="54">
        <v>1000000</v>
      </c>
      <c r="V42" s="54">
        <f>+Nómina!$D$51</f>
        <v>7140000</v>
      </c>
      <c r="W42" s="54">
        <v>1000000</v>
      </c>
      <c r="X42" s="54">
        <f>+Nómina!$D$51</f>
        <v>7140000</v>
      </c>
      <c r="Y42" s="54">
        <v>1000000</v>
      </c>
      <c r="Z42" s="54">
        <f>+Nómina!$D$51</f>
        <v>7140000</v>
      </c>
      <c r="AA42" s="44">
        <f t="shared" si="13"/>
        <v>6.1949291429673189E-2</v>
      </c>
      <c r="AB42" s="43">
        <f>+D42+F42+H42+J42+L42+P42+R42+T42+V42+X42+Z42+N42</f>
        <v>85680000</v>
      </c>
    </row>
    <row r="43" spans="1:28" ht="11.15" hidden="1" customHeight="1" x14ac:dyDescent="0.25">
      <c r="A43" s="108"/>
      <c r="B43" s="69" t="s">
        <v>33</v>
      </c>
      <c r="C43" s="56"/>
      <c r="D43" s="54"/>
      <c r="E43" s="44"/>
      <c r="F43" s="54"/>
      <c r="G43" s="44"/>
      <c r="H43" s="54"/>
      <c r="I43" s="44"/>
      <c r="J43" s="54"/>
      <c r="K43" s="44"/>
      <c r="L43" s="54"/>
      <c r="M43" s="44"/>
      <c r="N43" s="54"/>
      <c r="O43" s="44"/>
      <c r="P43" s="54"/>
      <c r="Q43" s="44"/>
      <c r="R43" s="54"/>
      <c r="S43" s="44"/>
      <c r="T43" s="54"/>
      <c r="U43" s="44"/>
      <c r="V43" s="54"/>
      <c r="W43" s="44"/>
      <c r="X43" s="54"/>
      <c r="Y43" s="44"/>
      <c r="Z43" s="54"/>
      <c r="AA43" s="44">
        <f t="shared" si="13"/>
        <v>0</v>
      </c>
      <c r="AB43" s="43">
        <f t="shared" ref="AB43:AB56" si="15">+D43+F43+H43+J43+L43+P43+R43+T43+V43+X43+Z43+N43</f>
        <v>0</v>
      </c>
    </row>
    <row r="44" spans="1:28" ht="11.15" customHeight="1" x14ac:dyDescent="0.25">
      <c r="A44" s="108"/>
      <c r="B44" s="69" t="s">
        <v>34</v>
      </c>
      <c r="C44" s="56"/>
      <c r="D44" s="54">
        <f>+Nómina!$D$52</f>
        <v>400000</v>
      </c>
      <c r="E44" s="44" t="e">
        <f t="shared" ref="E44:E56" si="16">D44/D$12</f>
        <v>#DIV/0!</v>
      </c>
      <c r="F44" s="54">
        <f>+Nómina!$D$52</f>
        <v>400000</v>
      </c>
      <c r="G44" s="44" t="e">
        <f t="shared" ref="G44:G56" si="17">F44/F$12</f>
        <v>#DIV/0!</v>
      </c>
      <c r="H44" s="54">
        <f>+Nómina!$D$52</f>
        <v>400000</v>
      </c>
      <c r="I44" s="44" t="e">
        <f t="shared" ref="I44:I56" si="18">H44/H$12</f>
        <v>#DIV/0!</v>
      </c>
      <c r="J44" s="54">
        <f>+Nómina!$D$52</f>
        <v>400000</v>
      </c>
      <c r="K44" s="44" t="e">
        <f t="shared" ref="K44:K56" si="19">J44/J$12</f>
        <v>#DIV/0!</v>
      </c>
      <c r="L44" s="54">
        <f>+Nómina!$D$52</f>
        <v>400000</v>
      </c>
      <c r="M44" s="44" t="e">
        <f t="shared" ref="M44:M56" si="20">L44/L$12</f>
        <v>#DIV/0!</v>
      </c>
      <c r="N44" s="54">
        <f>+Nómina!$D$52</f>
        <v>400000</v>
      </c>
      <c r="O44" s="44" t="e">
        <f t="shared" ref="O44:O56" si="21">N44/N$12</f>
        <v>#DIV/0!</v>
      </c>
      <c r="P44" s="54">
        <f>+Nómina!$D$52</f>
        <v>400000</v>
      </c>
      <c r="Q44" s="44" t="e">
        <f t="shared" ref="Q44:Q56" si="22">P44/P$12</f>
        <v>#DIV/0!</v>
      </c>
      <c r="R44" s="54">
        <f>+Nómina!$D$52</f>
        <v>400000</v>
      </c>
      <c r="S44" s="44" t="e">
        <f t="shared" ref="S44:S56" si="23">R44/R$12</f>
        <v>#DIV/0!</v>
      </c>
      <c r="T44" s="54">
        <f>+Nómina!$D$52</f>
        <v>400000</v>
      </c>
      <c r="U44" s="44" t="e">
        <f t="shared" ref="U44:U56" si="24">T44/T$12</f>
        <v>#DIV/0!</v>
      </c>
      <c r="V44" s="54">
        <f>+Nómina!$D$52</f>
        <v>400000</v>
      </c>
      <c r="W44" s="44" t="e">
        <f t="shared" ref="W44:W56" si="25">V44/V$12</f>
        <v>#DIV/0!</v>
      </c>
      <c r="X44" s="54">
        <f>+Nómina!$D$52</f>
        <v>400000</v>
      </c>
      <c r="Y44" s="44" t="e">
        <f t="shared" ref="Y44:Y56" si="26">X44/X$12</f>
        <v>#DIV/0!</v>
      </c>
      <c r="Z44" s="54">
        <f>+Nómina!$D$52</f>
        <v>400000</v>
      </c>
      <c r="AA44" s="44">
        <f t="shared" si="13"/>
        <v>3.4705485394774895E-3</v>
      </c>
      <c r="AB44" s="43">
        <f t="shared" si="15"/>
        <v>4800000</v>
      </c>
    </row>
    <row r="45" spans="1:28" ht="11.15" hidden="1" customHeight="1" x14ac:dyDescent="0.25">
      <c r="A45" s="108"/>
      <c r="B45" s="69" t="s">
        <v>35</v>
      </c>
      <c r="C45" s="56"/>
      <c r="D45" s="54"/>
      <c r="E45" s="44" t="e">
        <f t="shared" si="16"/>
        <v>#DIV/0!</v>
      </c>
      <c r="F45" s="54"/>
      <c r="G45" s="44" t="e">
        <f t="shared" si="17"/>
        <v>#DIV/0!</v>
      </c>
      <c r="H45" s="54"/>
      <c r="I45" s="44" t="e">
        <f t="shared" si="18"/>
        <v>#DIV/0!</v>
      </c>
      <c r="J45" s="54"/>
      <c r="K45" s="44" t="e">
        <f t="shared" si="19"/>
        <v>#DIV/0!</v>
      </c>
      <c r="L45" s="54"/>
      <c r="M45" s="44" t="e">
        <f t="shared" si="20"/>
        <v>#DIV/0!</v>
      </c>
      <c r="N45" s="54"/>
      <c r="O45" s="44" t="e">
        <f t="shared" si="21"/>
        <v>#DIV/0!</v>
      </c>
      <c r="P45" s="54"/>
      <c r="Q45" s="44" t="e">
        <f t="shared" si="22"/>
        <v>#DIV/0!</v>
      </c>
      <c r="R45" s="54"/>
      <c r="S45" s="44" t="e">
        <f t="shared" si="23"/>
        <v>#DIV/0!</v>
      </c>
      <c r="T45" s="54"/>
      <c r="U45" s="44" t="e">
        <f t="shared" si="24"/>
        <v>#DIV/0!</v>
      </c>
      <c r="V45" s="54"/>
      <c r="W45" s="44" t="e">
        <f t="shared" si="25"/>
        <v>#DIV/0!</v>
      </c>
      <c r="X45" s="54"/>
      <c r="Y45" s="44" t="e">
        <f t="shared" si="26"/>
        <v>#DIV/0!</v>
      </c>
      <c r="Z45" s="54"/>
      <c r="AA45" s="44">
        <f t="shared" si="13"/>
        <v>0</v>
      </c>
      <c r="AB45" s="43">
        <f t="shared" si="15"/>
        <v>0</v>
      </c>
    </row>
    <row r="46" spans="1:28" ht="11.15" hidden="1" customHeight="1" x14ac:dyDescent="0.25">
      <c r="A46" s="108"/>
      <c r="B46" s="70" t="s">
        <v>36</v>
      </c>
      <c r="C46" s="57"/>
      <c r="D46" s="54"/>
      <c r="E46" s="44" t="e">
        <f t="shared" si="16"/>
        <v>#DIV/0!</v>
      </c>
      <c r="F46" s="54"/>
      <c r="G46" s="44" t="e">
        <f t="shared" si="17"/>
        <v>#DIV/0!</v>
      </c>
      <c r="H46" s="54"/>
      <c r="I46" s="44" t="e">
        <f t="shared" si="18"/>
        <v>#DIV/0!</v>
      </c>
      <c r="J46" s="54"/>
      <c r="K46" s="44" t="e">
        <f t="shared" si="19"/>
        <v>#DIV/0!</v>
      </c>
      <c r="L46" s="54"/>
      <c r="M46" s="44" t="e">
        <f t="shared" si="20"/>
        <v>#DIV/0!</v>
      </c>
      <c r="N46" s="54"/>
      <c r="O46" s="44" t="e">
        <f t="shared" si="21"/>
        <v>#DIV/0!</v>
      </c>
      <c r="P46" s="54"/>
      <c r="Q46" s="44" t="e">
        <f t="shared" si="22"/>
        <v>#DIV/0!</v>
      </c>
      <c r="R46" s="54"/>
      <c r="S46" s="44" t="e">
        <f t="shared" si="23"/>
        <v>#DIV/0!</v>
      </c>
      <c r="T46" s="54"/>
      <c r="U46" s="44" t="e">
        <f t="shared" si="24"/>
        <v>#DIV/0!</v>
      </c>
      <c r="V46" s="54"/>
      <c r="W46" s="44" t="e">
        <f t="shared" si="25"/>
        <v>#DIV/0!</v>
      </c>
      <c r="X46" s="54"/>
      <c r="Y46" s="44" t="e">
        <f t="shared" si="26"/>
        <v>#DIV/0!</v>
      </c>
      <c r="Z46" s="54"/>
      <c r="AA46" s="44">
        <f t="shared" si="13"/>
        <v>0</v>
      </c>
      <c r="AB46" s="43">
        <f t="shared" si="15"/>
        <v>0</v>
      </c>
    </row>
    <row r="47" spans="1:28" ht="11.15" customHeight="1" x14ac:dyDescent="0.25">
      <c r="A47" s="108"/>
      <c r="B47" s="69" t="s">
        <v>37</v>
      </c>
      <c r="C47" s="56"/>
      <c r="D47" s="54">
        <f>+Nómina!$D$51</f>
        <v>7140000</v>
      </c>
      <c r="E47" s="44" t="e">
        <f t="shared" si="16"/>
        <v>#DIV/0!</v>
      </c>
      <c r="F47" s="54">
        <f>+Nómina!$D$51</f>
        <v>7140000</v>
      </c>
      <c r="G47" s="44" t="e">
        <f t="shared" si="17"/>
        <v>#DIV/0!</v>
      </c>
      <c r="H47" s="54">
        <f>+Nómina!$D$51</f>
        <v>7140000</v>
      </c>
      <c r="I47" s="44" t="e">
        <f t="shared" si="18"/>
        <v>#DIV/0!</v>
      </c>
      <c r="J47" s="54">
        <f>+Nómina!$D$51</f>
        <v>7140000</v>
      </c>
      <c r="K47" s="44" t="e">
        <f t="shared" si="19"/>
        <v>#DIV/0!</v>
      </c>
      <c r="L47" s="54">
        <f>+Nómina!$D$51</f>
        <v>7140000</v>
      </c>
      <c r="M47" s="44" t="e">
        <f t="shared" si="20"/>
        <v>#DIV/0!</v>
      </c>
      <c r="N47" s="54">
        <f>+Nómina!$D$51</f>
        <v>7140000</v>
      </c>
      <c r="O47" s="44" t="e">
        <f t="shared" si="21"/>
        <v>#DIV/0!</v>
      </c>
      <c r="P47" s="54">
        <f>+Nómina!$D$51</f>
        <v>7140000</v>
      </c>
      <c r="Q47" s="44" t="e">
        <f t="shared" si="22"/>
        <v>#DIV/0!</v>
      </c>
      <c r="R47" s="54">
        <f>+Nómina!$D$51</f>
        <v>7140000</v>
      </c>
      <c r="S47" s="44" t="e">
        <f t="shared" si="23"/>
        <v>#DIV/0!</v>
      </c>
      <c r="T47" s="54">
        <f>+Nómina!$D$51</f>
        <v>7140000</v>
      </c>
      <c r="U47" s="44" t="e">
        <f t="shared" si="24"/>
        <v>#DIV/0!</v>
      </c>
      <c r="V47" s="54">
        <f>+Nómina!$D$51</f>
        <v>7140000</v>
      </c>
      <c r="W47" s="44" t="e">
        <f t="shared" si="25"/>
        <v>#DIV/0!</v>
      </c>
      <c r="X47" s="54">
        <f>+Nómina!$D$51</f>
        <v>7140000</v>
      </c>
      <c r="Y47" s="44" t="e">
        <f t="shared" si="26"/>
        <v>#DIV/0!</v>
      </c>
      <c r="Z47" s="54">
        <f>+Nómina!$D$51</f>
        <v>7140000</v>
      </c>
      <c r="AA47" s="44">
        <f t="shared" si="13"/>
        <v>6.1949291429673189E-2</v>
      </c>
      <c r="AB47" s="43">
        <f t="shared" si="15"/>
        <v>85680000</v>
      </c>
    </row>
    <row r="48" spans="1:28" ht="11.15" customHeight="1" x14ac:dyDescent="0.25">
      <c r="A48" s="108"/>
      <c r="B48" s="69" t="s">
        <v>38</v>
      </c>
      <c r="C48" s="56"/>
      <c r="D48" s="54">
        <f>+Nómina!$D$52</f>
        <v>400000</v>
      </c>
      <c r="E48" s="44" t="e">
        <f t="shared" si="16"/>
        <v>#DIV/0!</v>
      </c>
      <c r="F48" s="54">
        <f>+Nómina!$D$52</f>
        <v>400000</v>
      </c>
      <c r="G48" s="44" t="e">
        <f t="shared" si="17"/>
        <v>#DIV/0!</v>
      </c>
      <c r="H48" s="54">
        <f>+Nómina!$D$52</f>
        <v>400000</v>
      </c>
      <c r="I48" s="44" t="e">
        <f t="shared" si="18"/>
        <v>#DIV/0!</v>
      </c>
      <c r="J48" s="54">
        <f>+Nómina!$D$52</f>
        <v>400000</v>
      </c>
      <c r="K48" s="44" t="e">
        <f t="shared" si="19"/>
        <v>#DIV/0!</v>
      </c>
      <c r="L48" s="54">
        <f>+Nómina!$D$52</f>
        <v>400000</v>
      </c>
      <c r="M48" s="44" t="e">
        <f t="shared" si="20"/>
        <v>#DIV/0!</v>
      </c>
      <c r="N48" s="54">
        <f>+Nómina!$D$52</f>
        <v>400000</v>
      </c>
      <c r="O48" s="44" t="e">
        <f t="shared" si="21"/>
        <v>#DIV/0!</v>
      </c>
      <c r="P48" s="54">
        <f>+Nómina!$D$52</f>
        <v>400000</v>
      </c>
      <c r="Q48" s="44" t="e">
        <f t="shared" si="22"/>
        <v>#DIV/0!</v>
      </c>
      <c r="R48" s="54">
        <f>+Nómina!$D$52</f>
        <v>400000</v>
      </c>
      <c r="S48" s="44" t="e">
        <f t="shared" si="23"/>
        <v>#DIV/0!</v>
      </c>
      <c r="T48" s="54">
        <f>+Nómina!$D$52</f>
        <v>400000</v>
      </c>
      <c r="U48" s="44" t="e">
        <f t="shared" si="24"/>
        <v>#DIV/0!</v>
      </c>
      <c r="V48" s="54">
        <f>+Nómina!$D$52</f>
        <v>400000</v>
      </c>
      <c r="W48" s="44" t="e">
        <f t="shared" si="25"/>
        <v>#DIV/0!</v>
      </c>
      <c r="X48" s="54">
        <f>+Nómina!$D$52</f>
        <v>400000</v>
      </c>
      <c r="Y48" s="44" t="e">
        <f t="shared" si="26"/>
        <v>#DIV/0!</v>
      </c>
      <c r="Z48" s="54">
        <f>+Nómina!$D$52</f>
        <v>400000</v>
      </c>
      <c r="AA48" s="44">
        <f t="shared" si="13"/>
        <v>3.4705485394774895E-3</v>
      </c>
      <c r="AB48" s="43">
        <f t="shared" si="15"/>
        <v>4800000</v>
      </c>
    </row>
    <row r="49" spans="1:28" ht="11.15" customHeight="1" x14ac:dyDescent="0.25">
      <c r="A49" s="108"/>
      <c r="B49" s="69" t="s">
        <v>39</v>
      </c>
      <c r="C49" s="56"/>
      <c r="D49" s="54">
        <f>+Nómina!$D$53</f>
        <v>1000000</v>
      </c>
      <c r="E49" s="54">
        <v>100000</v>
      </c>
      <c r="F49" s="54">
        <f>+Nómina!$D$53</f>
        <v>1000000</v>
      </c>
      <c r="G49" s="54">
        <v>100000</v>
      </c>
      <c r="H49" s="54">
        <f>+Nómina!$D$53</f>
        <v>1000000</v>
      </c>
      <c r="I49" s="54">
        <v>100000</v>
      </c>
      <c r="J49" s="54">
        <f>+Nómina!$D$53</f>
        <v>1000000</v>
      </c>
      <c r="K49" s="54">
        <v>100000</v>
      </c>
      <c r="L49" s="54">
        <f>+Nómina!$D$53</f>
        <v>1000000</v>
      </c>
      <c r="M49" s="54">
        <v>100000</v>
      </c>
      <c r="N49" s="54">
        <f>+Nómina!$D$53</f>
        <v>1000000</v>
      </c>
      <c r="O49" s="54">
        <v>100000</v>
      </c>
      <c r="P49" s="54">
        <f>+Nómina!$D$53</f>
        <v>1000000</v>
      </c>
      <c r="Q49" s="54">
        <v>100000</v>
      </c>
      <c r="R49" s="54">
        <f>+Nómina!$D$53</f>
        <v>1000000</v>
      </c>
      <c r="S49" s="54">
        <v>100000</v>
      </c>
      <c r="T49" s="54">
        <f>+Nómina!$D$53</f>
        <v>1000000</v>
      </c>
      <c r="U49" s="54">
        <v>100000</v>
      </c>
      <c r="V49" s="54">
        <f>+Nómina!$D$53</f>
        <v>1000000</v>
      </c>
      <c r="W49" s="54">
        <v>100000</v>
      </c>
      <c r="X49" s="54">
        <f>+Nómina!$D$53</f>
        <v>1000000</v>
      </c>
      <c r="Y49" s="54">
        <v>100000</v>
      </c>
      <c r="Z49" s="54">
        <f>+Nómina!$D$53</f>
        <v>1000000</v>
      </c>
      <c r="AA49" s="44">
        <f t="shared" si="13"/>
        <v>8.6763713486937236E-3</v>
      </c>
      <c r="AB49" s="43">
        <f t="shared" si="15"/>
        <v>12000000</v>
      </c>
    </row>
    <row r="50" spans="1:28" ht="11.15" customHeight="1" x14ac:dyDescent="0.25">
      <c r="A50" s="108"/>
      <c r="B50" s="69" t="s">
        <v>40</v>
      </c>
      <c r="C50" s="56"/>
      <c r="D50" s="54">
        <f>+Nómina!$D$54</f>
        <v>800000</v>
      </c>
      <c r="E50" s="54">
        <v>300000</v>
      </c>
      <c r="F50" s="54">
        <f>+Nómina!$D$54</f>
        <v>800000</v>
      </c>
      <c r="G50" s="54">
        <v>300000</v>
      </c>
      <c r="H50" s="54">
        <f>+Nómina!$D$54</f>
        <v>800000</v>
      </c>
      <c r="I50" s="54">
        <v>300000</v>
      </c>
      <c r="J50" s="54">
        <f>+Nómina!$D$54</f>
        <v>800000</v>
      </c>
      <c r="K50" s="54">
        <v>300000</v>
      </c>
      <c r="L50" s="54">
        <f>+Nómina!$D$54</f>
        <v>800000</v>
      </c>
      <c r="M50" s="54">
        <v>300000</v>
      </c>
      <c r="N50" s="54">
        <f>+Nómina!$D$54</f>
        <v>800000</v>
      </c>
      <c r="O50" s="54">
        <v>300000</v>
      </c>
      <c r="P50" s="54">
        <f>+Nómina!$D$54</f>
        <v>800000</v>
      </c>
      <c r="Q50" s="54">
        <v>300000</v>
      </c>
      <c r="R50" s="54">
        <f>+Nómina!$D$54</f>
        <v>800000</v>
      </c>
      <c r="S50" s="54">
        <v>300000</v>
      </c>
      <c r="T50" s="54">
        <f>+Nómina!$D$54</f>
        <v>800000</v>
      </c>
      <c r="U50" s="54">
        <v>300000</v>
      </c>
      <c r="V50" s="54">
        <f>+Nómina!$D$54</f>
        <v>800000</v>
      </c>
      <c r="W50" s="54">
        <v>300000</v>
      </c>
      <c r="X50" s="54">
        <f>+Nómina!$D$54</f>
        <v>800000</v>
      </c>
      <c r="Y50" s="54">
        <v>300000</v>
      </c>
      <c r="Z50" s="54">
        <f>+Nómina!$D$54</f>
        <v>800000</v>
      </c>
      <c r="AA50" s="44">
        <f t="shared" si="13"/>
        <v>6.9410970789549791E-3</v>
      </c>
      <c r="AB50" s="43">
        <f t="shared" si="15"/>
        <v>9600000</v>
      </c>
    </row>
    <row r="51" spans="1:28" ht="11.15" customHeight="1" x14ac:dyDescent="0.25">
      <c r="A51" s="108"/>
      <c r="B51" s="69" t="s">
        <v>41</v>
      </c>
      <c r="C51" s="56"/>
      <c r="D51" s="54">
        <f>+Nómina!$D$55</f>
        <v>300000</v>
      </c>
      <c r="E51" s="54">
        <v>150000</v>
      </c>
      <c r="F51" s="54">
        <f>+Nómina!$D$55</f>
        <v>300000</v>
      </c>
      <c r="G51" s="54">
        <v>150000</v>
      </c>
      <c r="H51" s="54">
        <f>+Nómina!$D$55</f>
        <v>300000</v>
      </c>
      <c r="I51" s="54">
        <v>150000</v>
      </c>
      <c r="J51" s="54">
        <f>+Nómina!$D$55</f>
        <v>300000</v>
      </c>
      <c r="K51" s="54">
        <v>150000</v>
      </c>
      <c r="L51" s="54">
        <f>+Nómina!$D$55</f>
        <v>300000</v>
      </c>
      <c r="M51" s="54">
        <v>150000</v>
      </c>
      <c r="N51" s="54">
        <f>+Nómina!$D$55</f>
        <v>300000</v>
      </c>
      <c r="O51" s="54">
        <v>150000</v>
      </c>
      <c r="P51" s="54">
        <f>+Nómina!$D$55</f>
        <v>300000</v>
      </c>
      <c r="Q51" s="54">
        <v>150000</v>
      </c>
      <c r="R51" s="54">
        <f>+Nómina!$D$55</f>
        <v>300000</v>
      </c>
      <c r="S51" s="54">
        <v>150000</v>
      </c>
      <c r="T51" s="54">
        <f>+Nómina!$D$55</f>
        <v>300000</v>
      </c>
      <c r="U51" s="54">
        <v>150000</v>
      </c>
      <c r="V51" s="54">
        <f>+Nómina!$D$55</f>
        <v>300000</v>
      </c>
      <c r="W51" s="54">
        <v>150000</v>
      </c>
      <c r="X51" s="54">
        <f>+Nómina!$D$55</f>
        <v>300000</v>
      </c>
      <c r="Y51" s="54">
        <v>150000</v>
      </c>
      <c r="Z51" s="54">
        <f>+Nómina!$D$55</f>
        <v>300000</v>
      </c>
      <c r="AA51" s="44">
        <f t="shared" si="13"/>
        <v>2.6029114046081173E-3</v>
      </c>
      <c r="AB51" s="43">
        <f t="shared" si="15"/>
        <v>3600000</v>
      </c>
    </row>
    <row r="52" spans="1:28" ht="11.15" hidden="1" customHeight="1" x14ac:dyDescent="0.25">
      <c r="A52" s="108"/>
      <c r="B52" s="69" t="s">
        <v>42</v>
      </c>
      <c r="C52" s="56"/>
      <c r="D52" s="54"/>
      <c r="E52" s="44"/>
      <c r="F52" s="54"/>
      <c r="G52" s="44"/>
      <c r="H52" s="54"/>
      <c r="I52" s="44"/>
      <c r="J52" s="54"/>
      <c r="K52" s="44"/>
      <c r="L52" s="54"/>
      <c r="M52" s="44"/>
      <c r="N52" s="54"/>
      <c r="O52" s="44"/>
      <c r="P52" s="54"/>
      <c r="Q52" s="44"/>
      <c r="R52" s="54"/>
      <c r="S52" s="44"/>
      <c r="T52" s="54"/>
      <c r="U52" s="44"/>
      <c r="V52" s="54"/>
      <c r="W52" s="44"/>
      <c r="X52" s="54"/>
      <c r="Y52" s="44"/>
      <c r="Z52" s="54"/>
      <c r="AA52" s="44">
        <f t="shared" si="13"/>
        <v>0</v>
      </c>
      <c r="AB52" s="43">
        <f t="shared" si="15"/>
        <v>0</v>
      </c>
    </row>
    <row r="53" spans="1:28" ht="11.15" customHeight="1" x14ac:dyDescent="0.25">
      <c r="A53" s="108"/>
      <c r="B53" s="69" t="s">
        <v>43</v>
      </c>
      <c r="C53" s="56"/>
      <c r="D53" s="54">
        <f>+Nómina!$D$56</f>
        <v>800000</v>
      </c>
      <c r="E53" s="54">
        <v>100000</v>
      </c>
      <c r="F53" s="54">
        <f>+Nómina!$D$56</f>
        <v>800000</v>
      </c>
      <c r="G53" s="54">
        <v>100000</v>
      </c>
      <c r="H53" s="54">
        <f>+Nómina!$D$56</f>
        <v>800000</v>
      </c>
      <c r="I53" s="54">
        <v>100000</v>
      </c>
      <c r="J53" s="54">
        <f>+Nómina!$D$56</f>
        <v>800000</v>
      </c>
      <c r="K53" s="54">
        <v>100000</v>
      </c>
      <c r="L53" s="54">
        <f>+Nómina!$D$56</f>
        <v>800000</v>
      </c>
      <c r="M53" s="54">
        <v>100000</v>
      </c>
      <c r="N53" s="54">
        <f>+Nómina!$D$56</f>
        <v>800000</v>
      </c>
      <c r="O53" s="54">
        <v>100000</v>
      </c>
      <c r="P53" s="54">
        <f>+Nómina!$D$56</f>
        <v>800000</v>
      </c>
      <c r="Q53" s="54">
        <v>100000</v>
      </c>
      <c r="R53" s="54">
        <f>+Nómina!$D$56</f>
        <v>800000</v>
      </c>
      <c r="S53" s="54">
        <v>100000</v>
      </c>
      <c r="T53" s="54">
        <f>+Nómina!$D$56</f>
        <v>800000</v>
      </c>
      <c r="U53" s="54">
        <v>100000</v>
      </c>
      <c r="V53" s="54">
        <f>+Nómina!$D$56</f>
        <v>800000</v>
      </c>
      <c r="W53" s="54">
        <v>100000</v>
      </c>
      <c r="X53" s="54">
        <f>+Nómina!$D$56</f>
        <v>800000</v>
      </c>
      <c r="Y53" s="54">
        <v>100000</v>
      </c>
      <c r="Z53" s="54">
        <f>+Nómina!$D$56</f>
        <v>800000</v>
      </c>
      <c r="AA53" s="44">
        <f t="shared" si="13"/>
        <v>6.9410970789549791E-3</v>
      </c>
      <c r="AB53" s="43">
        <f t="shared" si="15"/>
        <v>9600000</v>
      </c>
    </row>
    <row r="54" spans="1:28" ht="11.15" customHeight="1" x14ac:dyDescent="0.25">
      <c r="A54" s="108"/>
      <c r="B54" s="69" t="s">
        <v>44</v>
      </c>
      <c r="C54" s="56"/>
      <c r="D54" s="54">
        <f>+Nómina!$D$57</f>
        <v>700000</v>
      </c>
      <c r="E54" s="44" t="e">
        <f t="shared" si="16"/>
        <v>#DIV/0!</v>
      </c>
      <c r="F54" s="54">
        <f>+Nómina!$D$57</f>
        <v>700000</v>
      </c>
      <c r="G54" s="44" t="e">
        <f t="shared" si="17"/>
        <v>#DIV/0!</v>
      </c>
      <c r="H54" s="54">
        <f>+Nómina!$D$57</f>
        <v>700000</v>
      </c>
      <c r="I54" s="44" t="e">
        <f t="shared" si="18"/>
        <v>#DIV/0!</v>
      </c>
      <c r="J54" s="54">
        <f>+Nómina!$D$57</f>
        <v>700000</v>
      </c>
      <c r="K54" s="44" t="e">
        <f t="shared" si="19"/>
        <v>#DIV/0!</v>
      </c>
      <c r="L54" s="54">
        <f>+Nómina!$D$57</f>
        <v>700000</v>
      </c>
      <c r="M54" s="44" t="e">
        <f t="shared" si="20"/>
        <v>#DIV/0!</v>
      </c>
      <c r="N54" s="54">
        <f>+Nómina!$D$57</f>
        <v>700000</v>
      </c>
      <c r="O54" s="44" t="e">
        <f t="shared" si="21"/>
        <v>#DIV/0!</v>
      </c>
      <c r="P54" s="54">
        <f>+Nómina!$D$57</f>
        <v>700000</v>
      </c>
      <c r="Q54" s="44" t="e">
        <f t="shared" si="22"/>
        <v>#DIV/0!</v>
      </c>
      <c r="R54" s="54">
        <f>+Nómina!$D$57</f>
        <v>700000</v>
      </c>
      <c r="S54" s="44" t="e">
        <f t="shared" si="23"/>
        <v>#DIV/0!</v>
      </c>
      <c r="T54" s="54">
        <f>+Nómina!$D$57</f>
        <v>700000</v>
      </c>
      <c r="U54" s="44" t="e">
        <f t="shared" si="24"/>
        <v>#DIV/0!</v>
      </c>
      <c r="V54" s="54">
        <f>+Nómina!$D$57</f>
        <v>700000</v>
      </c>
      <c r="W54" s="44" t="e">
        <f t="shared" si="25"/>
        <v>#DIV/0!</v>
      </c>
      <c r="X54" s="54">
        <f>+Nómina!$D$57</f>
        <v>700000</v>
      </c>
      <c r="Y54" s="44" t="e">
        <f t="shared" si="26"/>
        <v>#DIV/0!</v>
      </c>
      <c r="Z54" s="54">
        <f>+Nómina!$D$57</f>
        <v>700000</v>
      </c>
      <c r="AA54" s="44">
        <f t="shared" si="13"/>
        <v>6.0734599440856072E-3</v>
      </c>
      <c r="AB54" s="43">
        <f t="shared" si="15"/>
        <v>8400000</v>
      </c>
    </row>
    <row r="55" spans="1:28" ht="11.15" customHeight="1" x14ac:dyDescent="0.25">
      <c r="A55" s="108"/>
      <c r="B55" s="69" t="s">
        <v>45</v>
      </c>
      <c r="C55" s="56"/>
      <c r="D55" s="54">
        <f>+Nómina!$D$58</f>
        <v>750000</v>
      </c>
      <c r="E55" s="44" t="e">
        <f t="shared" si="16"/>
        <v>#DIV/0!</v>
      </c>
      <c r="F55" s="54">
        <f>+Nómina!$D$58</f>
        <v>750000</v>
      </c>
      <c r="G55" s="43">
        <v>100000</v>
      </c>
      <c r="H55" s="54">
        <f>+Nómina!$D$58</f>
        <v>750000</v>
      </c>
      <c r="I55" s="43">
        <v>100000</v>
      </c>
      <c r="J55" s="54">
        <f>+Nómina!$D$58</f>
        <v>750000</v>
      </c>
      <c r="K55" s="43">
        <v>100000</v>
      </c>
      <c r="L55" s="54">
        <f>+Nómina!$D$58</f>
        <v>750000</v>
      </c>
      <c r="M55" s="43">
        <v>100000</v>
      </c>
      <c r="N55" s="54">
        <f>+Nómina!$D$58</f>
        <v>750000</v>
      </c>
      <c r="O55" s="43">
        <v>100000</v>
      </c>
      <c r="P55" s="54">
        <f>+Nómina!$D$58</f>
        <v>750000</v>
      </c>
      <c r="Q55" s="43">
        <v>100000</v>
      </c>
      <c r="R55" s="54">
        <f>+Nómina!$D$58</f>
        <v>750000</v>
      </c>
      <c r="S55" s="43">
        <v>100000</v>
      </c>
      <c r="T55" s="54">
        <f>+Nómina!$D$58</f>
        <v>750000</v>
      </c>
      <c r="U55" s="43">
        <v>100000</v>
      </c>
      <c r="V55" s="54">
        <f>+Nómina!$D$58</f>
        <v>750000</v>
      </c>
      <c r="W55" s="43">
        <v>100000</v>
      </c>
      <c r="X55" s="54">
        <f>+Nómina!$D$58</f>
        <v>750000</v>
      </c>
      <c r="Y55" s="43">
        <v>100000</v>
      </c>
      <c r="Z55" s="54">
        <f>+Nómina!$D$58</f>
        <v>750000</v>
      </c>
      <c r="AA55" s="44">
        <f t="shared" si="13"/>
        <v>6.5072785115202932E-3</v>
      </c>
      <c r="AB55" s="43">
        <f t="shared" si="15"/>
        <v>9000000</v>
      </c>
    </row>
    <row r="56" spans="1:28" ht="11.15" customHeight="1" thickBot="1" x14ac:dyDescent="0.3">
      <c r="A56" s="109"/>
      <c r="B56" s="71" t="s">
        <v>46</v>
      </c>
      <c r="C56" s="58"/>
      <c r="D56" s="55">
        <f>+Nómina!$D$59</f>
        <v>600000</v>
      </c>
      <c r="E56" s="45" t="e">
        <f t="shared" si="16"/>
        <v>#DIV/0!</v>
      </c>
      <c r="F56" s="55">
        <f>+Nómina!$D$59</f>
        <v>600000</v>
      </c>
      <c r="G56" s="45" t="e">
        <f t="shared" si="17"/>
        <v>#DIV/0!</v>
      </c>
      <c r="H56" s="55">
        <f>+Nómina!$D$59</f>
        <v>600000</v>
      </c>
      <c r="I56" s="45" t="e">
        <f t="shared" si="18"/>
        <v>#DIV/0!</v>
      </c>
      <c r="J56" s="55">
        <f>+Nómina!$D$59</f>
        <v>600000</v>
      </c>
      <c r="K56" s="45" t="e">
        <f t="shared" si="19"/>
        <v>#DIV/0!</v>
      </c>
      <c r="L56" s="55">
        <f>+Nómina!$D$59</f>
        <v>600000</v>
      </c>
      <c r="M56" s="45" t="e">
        <f t="shared" si="20"/>
        <v>#DIV/0!</v>
      </c>
      <c r="N56" s="55">
        <f>+Nómina!$D$59</f>
        <v>600000</v>
      </c>
      <c r="O56" s="45" t="e">
        <f t="shared" si="21"/>
        <v>#DIV/0!</v>
      </c>
      <c r="P56" s="55">
        <f>+Nómina!$D$59</f>
        <v>600000</v>
      </c>
      <c r="Q56" s="45" t="e">
        <f t="shared" si="22"/>
        <v>#DIV/0!</v>
      </c>
      <c r="R56" s="55">
        <f>+Nómina!$D$59</f>
        <v>600000</v>
      </c>
      <c r="S56" s="45" t="e">
        <f t="shared" si="23"/>
        <v>#DIV/0!</v>
      </c>
      <c r="T56" s="55">
        <f>+Nómina!$D$59</f>
        <v>600000</v>
      </c>
      <c r="U56" s="45" t="e">
        <f t="shared" si="24"/>
        <v>#DIV/0!</v>
      </c>
      <c r="V56" s="55">
        <f>+Nómina!$D$59</f>
        <v>600000</v>
      </c>
      <c r="W56" s="45" t="e">
        <f t="shared" si="25"/>
        <v>#DIV/0!</v>
      </c>
      <c r="X56" s="55">
        <f>+Nómina!$D$59</f>
        <v>600000</v>
      </c>
      <c r="Y56" s="45" t="e">
        <f t="shared" si="26"/>
        <v>#DIV/0!</v>
      </c>
      <c r="Z56" s="55">
        <f>+Nómina!$D$59</f>
        <v>600000</v>
      </c>
      <c r="AA56" s="45">
        <f t="shared" si="13"/>
        <v>5.2058228092162345E-3</v>
      </c>
      <c r="AB56" s="43">
        <f t="shared" si="15"/>
        <v>7200000</v>
      </c>
    </row>
    <row r="57" spans="1:28" ht="13.5" thickTop="1" thickBot="1" x14ac:dyDescent="0.3">
      <c r="B57" s="46" t="s">
        <v>47</v>
      </c>
      <c r="C57" s="47"/>
      <c r="D57" s="50">
        <f>D23-D25</f>
        <v>16894812.543232009</v>
      </c>
      <c r="E57" s="48"/>
      <c r="F57" s="50">
        <f>F23-F25</f>
        <v>14153787.543232009</v>
      </c>
      <c r="G57" s="49"/>
      <c r="H57" s="50">
        <f>H23-H25</f>
        <v>16437975.043232009</v>
      </c>
      <c r="I57" s="48"/>
      <c r="J57" s="50">
        <f>J23-J25</f>
        <v>16411870.043232009</v>
      </c>
      <c r="K57" s="48"/>
      <c r="L57" s="50">
        <f>L23-L25</f>
        <v>18722162.543232009</v>
      </c>
      <c r="M57" s="48"/>
      <c r="N57" s="50">
        <f>N23-N25</f>
        <v>15132725.043232009</v>
      </c>
      <c r="O57" s="48"/>
      <c r="P57" s="50">
        <f>P23-P25</f>
        <v>17090600.043232009</v>
      </c>
      <c r="Q57" s="48"/>
      <c r="R57" s="50">
        <f>R23-R25</f>
        <v>17090600.043232009</v>
      </c>
      <c r="S57" s="48"/>
      <c r="T57" s="50">
        <f>T23-T25</f>
        <v>15589562.543232009</v>
      </c>
      <c r="U57" s="48"/>
      <c r="V57" s="50">
        <f>V23-V25</f>
        <v>20197095.043232009</v>
      </c>
      <c r="W57" s="48"/>
      <c r="X57" s="50">
        <f>X23-X25</f>
        <v>9629404.3024912626</v>
      </c>
      <c r="Y57" s="48"/>
      <c r="Z57" s="50">
        <f>Z23-Z25</f>
        <v>14403235.321009792</v>
      </c>
      <c r="AA57" s="48"/>
      <c r="AB57" s="50">
        <f>SUM(D57:Z57)</f>
        <v>191753830.05582115</v>
      </c>
    </row>
    <row r="58" spans="1:28" ht="13" thickTop="1" x14ac:dyDescent="0.25">
      <c r="B58" s="7"/>
      <c r="C58" s="7"/>
      <c r="D58" s="8"/>
      <c r="E58" s="8"/>
      <c r="F58" s="8"/>
      <c r="G58" s="11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 spans="1:28" x14ac:dyDescent="0.25">
      <c r="B59" s="9"/>
      <c r="C59" s="9"/>
      <c r="D59" s="8"/>
      <c r="E59" s="8"/>
      <c r="F59" s="8"/>
      <c r="G59" s="11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 spans="1:28" x14ac:dyDescent="0.25">
      <c r="B60" s="7"/>
      <c r="C60" s="7"/>
      <c r="D60" s="8"/>
      <c r="E60" s="8"/>
      <c r="F60" s="8"/>
      <c r="G60" s="11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7"/>
    </row>
    <row r="61" spans="1:28" x14ac:dyDescent="0.25">
      <c r="B61" s="7"/>
      <c r="C61" s="7"/>
      <c r="D61" s="8"/>
      <c r="E61" s="8"/>
      <c r="F61" s="8"/>
      <c r="G61" s="11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7"/>
    </row>
    <row r="62" spans="1:28" x14ac:dyDescent="0.25">
      <c r="B62" s="7"/>
      <c r="C62" s="7"/>
      <c r="D62" s="8"/>
      <c r="E62" s="8"/>
      <c r="F62" s="8"/>
      <c r="G62" s="11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7"/>
    </row>
    <row r="63" spans="1:28" x14ac:dyDescent="0.25">
      <c r="B63" s="7"/>
      <c r="C63" s="7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7"/>
    </row>
    <row r="64" spans="1:28" x14ac:dyDescent="0.25">
      <c r="B64" s="9"/>
      <c r="C64" s="9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7"/>
    </row>
  </sheetData>
  <mergeCells count="3">
    <mergeCell ref="B2:AB2"/>
    <mergeCell ref="A42:A56"/>
    <mergeCell ref="B1:AB1"/>
  </mergeCells>
  <phoneticPr fontId="2" type="noConversion"/>
  <pageMargins left="0.75" right="0.75" top="1" bottom="1" header="0" footer="0"/>
  <pageSetup paperSize="9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Nómina</vt:lpstr>
      <vt:lpstr>Ventas por día</vt:lpstr>
      <vt:lpstr>Presupuesto -1</vt:lpstr>
      <vt:lpstr>Presupuesto 0</vt:lpstr>
      <vt:lpstr>Presupuesto 1</vt:lpstr>
      <vt:lpstr>Presupuesto 2</vt:lpstr>
    </vt:vector>
  </TitlesOfParts>
  <Company>Consultoria Empresarial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Manuel Moreno J.</dc:creator>
  <cp:lastModifiedBy>Juan Manuel Moreno J</cp:lastModifiedBy>
  <dcterms:created xsi:type="dcterms:W3CDTF">2004-06-07T21:15:09Z</dcterms:created>
  <dcterms:modified xsi:type="dcterms:W3CDTF">2020-04-14T22:18:58Z</dcterms:modified>
</cp:coreProperties>
</file>