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16765CF4-25CC-4419-823A-65858C2B821B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2" sheetId="9" r:id="rId2"/>
    <sheet name="Calculator" sheetId="2" r:id="rId3"/>
    <sheet name="Countries" sheetId="5" r:id="rId4"/>
    <sheet name="Sheet1" sheetId="8" r:id="rId5"/>
    <sheet name="DataQuality" sheetId="6" r:id="rId6"/>
    <sheet name="Database" sheetId="7" r:id="rId7"/>
    <sheet name="Sources" sheetId="4" r:id="rId8"/>
    <sheet name="Log" sheetId="3" r:id="rId9"/>
  </sheets>
  <externalReferences>
    <externalReference r:id="rId10"/>
  </externalReferences>
  <definedNames>
    <definedName name="_xlnm._FilterDatabase" localSheetId="0" hidden="1">AllEventData!$A$5:$BI$176</definedName>
    <definedName name="_xlnm._FilterDatabase" localSheetId="6" hidden="1">Database!$A$1:$H$39</definedName>
    <definedName name="_xlnm._FilterDatabase" localSheetId="7" hidden="1">Sources!$A$1:$C$1</definedName>
    <definedName name="solver_adj" localSheetId="0" hidden="1">AllEventData!$I$7</definedName>
    <definedName name="solver_adj" localSheetId="2" hidden="1">Calculator!$F$18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AllEventData!$K$7</definedName>
    <definedName name="solver_opt" localSheetId="2" hidden="1">Calculator!$H$11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3</definedName>
    <definedName name="solver_typ" localSheetId="2" hidden="1">3</definedName>
    <definedName name="solver_val" localSheetId="0" hidden="1">0.15001</definedName>
    <definedName name="solver_val" localSheetId="2" hidden="1">43.8</definedName>
    <definedName name="solver_ver" localSheetId="0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" i="9" l="1"/>
  <c r="I85" i="9"/>
  <c r="K180" i="1"/>
  <c r="H180" i="1"/>
  <c r="L98" i="9"/>
  <c r="M98" i="9"/>
  <c r="T179" i="1"/>
  <c r="K179" i="1"/>
  <c r="H179" i="1"/>
  <c r="T178" i="1" l="1"/>
  <c r="K178" i="1"/>
  <c r="H178" i="1"/>
  <c r="K177" i="1"/>
  <c r="H177" i="1"/>
  <c r="P85" i="8" l="1"/>
  <c r="O87" i="8"/>
  <c r="Q77" i="8"/>
  <c r="Q76" i="8"/>
  <c r="O82" i="8"/>
  <c r="O83" i="8"/>
  <c r="O84" i="8"/>
  <c r="O85" i="8"/>
  <c r="O81" i="8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M47" i="8"/>
  <c r="L47" i="8"/>
  <c r="N47" i="8" s="1"/>
  <c r="L46" i="8"/>
  <c r="N46" i="8" s="1"/>
  <c r="L45" i="8"/>
  <c r="N45" i="8" s="1"/>
  <c r="K6" i="1"/>
  <c r="K7" i="1"/>
  <c r="P39" i="8"/>
  <c r="P33" i="8"/>
  <c r="P44" i="8"/>
  <c r="P42" i="8"/>
  <c r="P34" i="8"/>
  <c r="P38" i="8"/>
  <c r="P36" i="8"/>
  <c r="P45" i="8"/>
  <c r="P37" i="8"/>
  <c r="P35" i="8"/>
  <c r="M45" i="8" l="1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6" i="2"/>
  <c r="L25" i="2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<sst xmlns="http://schemas.openxmlformats.org/spreadsheetml/2006/main" count="2894" uniqueCount="1620">
  <si>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</si>
  <si>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</si>
  <si>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</si>
  <si>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</si>
  <si>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</si>
  <si>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</si>
  <si>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</si>
  <si>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</si>
  <si>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</si>
  <si>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</si>
  <si>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</si>
  <si>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</si>
  <si>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</si>
  <si>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</si>
  <si>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</si>
  <si>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</si>
  <si>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</si>
  <si>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</si>
  <si>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</si>
  <si>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</si>
  <si>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</si>
  <si>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</si>
  <si>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</si>
  <si>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</si>
  <si>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</si>
  <si>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</si>
  <si>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</si>
  <si>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</si>
  <si>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</si>
  <si>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</si>
  <si>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</si>
  <si>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</si>
  <si>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</si>
  <si>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</si>
  <si>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</si>
  <si>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</si>
  <si>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</si>
  <si>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</si>
  <si>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</si>
  <si>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</si>
  <si>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</si>
  <si>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</si>
  <si>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</si>
  <si>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</si>
  <si>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</si>
  <si>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</si>
  <si>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</si>
  <si>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</si>
  <si>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</si>
  <si>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</si>
  <si>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</si>
  <si>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</si>
  <si>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</si>
  <si>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</si>
  <si>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</si>
  <si>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</si>
  <si>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</si>
  <si>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</si>
  <si>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</si>
  <si>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</si>
  <si>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</si>
  <si>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</si>
  <si>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</si>
  <si>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</si>
  <si>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</si>
  <si>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</si>
  <si>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</si>
  <si>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</si>
  <si>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</si>
  <si>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</si>
  <si>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</si>
  <si>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</si>
  <si>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</si>
  <si>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</si>
  <si>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</si>
  <si>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</si>
  <si>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</si>
  <si>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</si>
  <si>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</si>
  <si>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</si>
  <si>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</si>
  <si>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</si>
  <si>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</si>
  <si>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</si>
  <si>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</si>
  <si>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</si>
  <si>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</si>
  <si>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</si>
  <si>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</si>
  <si>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</si>
  <si>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</si>
  <si>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</si>
  <si>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</si>
  <si>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</si>
  <si>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</si>
  <si>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</si>
  <si>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</si>
  <si>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</si>
  <si>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</si>
  <si>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</si>
  <si>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</si>
  <si>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</si>
  <si>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</si>
  <si>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</si>
  <si>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</si>
  <si>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</si>
  <si>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</si>
  <si>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</si>
  <si>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</si>
  <si>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</si>
  <si>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</si>
  <si>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</si>
  <si>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</si>
  <si>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</si>
  <si>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</si>
  <si>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</si>
  <si>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</si>
  <si>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</si>
  <si>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</si>
  <si>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</si>
  <si>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</si>
  <si>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</si>
  <si>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</si>
  <si>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</si>
  <si>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</si>
  <si>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</si>
  <si>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</si>
  <si>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</si>
  <si>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</si>
  <si>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</si>
  <si>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</si>
  <si>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</si>
  <si>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</si>
  <si>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</si>
  <si>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</si>
  <si>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</si>
  <si>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</si>
  <si>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</si>
  <si>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</si>
  <si>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</si>
  <si>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</si>
  <si>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</si>
  <si>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</si>
  <si>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</si>
  <si>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</si>
  <si>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</si>
  <si>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</si>
  <si>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</si>
  <si>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</si>
  <si>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</si>
  <si>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</si>
  <si>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</si>
  <si>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</si>
  <si>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</si>
  <si>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</si>
  <si>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</si>
  <si>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</si>
  <si>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</si>
  <si>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</si>
  <si>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</si>
  <si>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</si>
  <si>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</si>
  <si>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</si>
  <si>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</si>
  <si>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</si>
  <si>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</si>
  <si>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</si>
  <si>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</si>
  <si>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</si>
  <si>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</si>
  <si>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</si>
  <si>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</si>
  <si>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</si>
  <si>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</si>
  <si>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</si>
  <si>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</si>
  <si>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</si>
  <si>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</si>
  <si>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</si>
  <si>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</si>
  <si>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</si>
  <si>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</si>
  <si>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</si>
  <si>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</si>
  <si>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</si>
  <si>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</si>
  <si>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</si>
  <si>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</si>
  <si>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</si>
  <si>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</si>
  <si>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</si>
  <si>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</si>
  <si>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</si>
  <si>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</si>
  <si>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</si>
  <si>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</si>
  <si>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</si>
  <si>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</si>
  <si>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</si>
  <si>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</si>
  <si>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</si>
  <si>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</si>
  <si>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</si>
  <si>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</si>
  <si>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</si>
  <si>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</si>
  <si>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</si>
  <si>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</si>
  <si>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</si>
  <si>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</si>
  <si>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</si>
  <si>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</si>
  <si>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</si>
  <si>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</si>
  <si>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</si>
  <si>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</si>
  <si>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</si>
  <si>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</si>
  <si>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</si>
  <si>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</si>
  <si>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</si>
  <si>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</si>
  <si>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</si>
  <si>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</si>
  <si>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</si>
  <si>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</si>
  <si>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</si>
  <si>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</si>
  <si>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</si>
  <si>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</si>
  <si>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</si>
  <si>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</si>
  <si>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</si>
  <si>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</si>
  <si>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</si>
  <si>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</si>
  <si>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</si>
  <si>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</si>
  <si>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</si>
  <si>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</si>
  <si>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</si>
  <si>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</si>
  <si>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</si>
  <si>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</si>
  <si>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</si>
  <si>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</si>
  <si>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</si>
  <si>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</si>
  <si>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</si>
  <si>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</si>
  <si>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</si>
  <si>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</si>
  <si>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</si>
  <si>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</si>
  <si>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</si>
  <si>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</si>
  <si>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</si>
  <si>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</si>
  <si>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</si>
  <si>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</si>
  <si>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</si>
  <si>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</si>
  <si>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</si>
  <si>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</si>
  <si>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</si>
  <si>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</si>
  <si>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</si>
  <si>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</si>
  <si>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</si>
  <si>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</si>
  <si>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</si>
  <si>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</si>
  <si>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</si>
  <si>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</si>
  <si>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</si>
  <si>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</si>
  <si>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</si>
  <si>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</si>
  <si>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</si>
  <si>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</si>
  <si>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</si>
  <si>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</si>
  <si>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</si>
  <si>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</si>
  <si>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</si>
  <si>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</si>
  <si>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</si>
  <si>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</si>
  <si>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</si>
  <si>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</si>
  <si>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</si>
  <si>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</si>
  <si>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</si>
  <si>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</si>
  <si>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</si>
  <si>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</si>
  <si>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</si>
  <si>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</si>
  <si>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</si>
  <si>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</si>
  <si>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</si>
  <si>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</si>
  <si>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</si>
  <si>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</si>
  <si>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</si>
  <si>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</si>
  <si>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</si>
  <si>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</si>
  <si>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</si>
  <si>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</si>
  <si>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</si>
  <si>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</si>
  <si>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</si>
  <si>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</si>
  <si>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</si>
  <si>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</si>
  <si>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</si>
  <si>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</si>
  <si>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</si>
  <si>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</si>
  <si>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</si>
  <si>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</si>
  <si>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</si>
  <si>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</si>
  <si>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</si>
  <si>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</si>
  <si>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</si>
  <si>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</si>
  <si>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</si>
  <si>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</si>
  <si>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</si>
  <si>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</si>
  <si>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</si>
  <si>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</si>
  <si>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</si>
  <si>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</si>
  <si>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</si>
  <si>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</si>
  <si>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</si>
  <si>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</si>
  <si>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</si>
  <si>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</si>
  <si>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</si>
  <si>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</si>
  <si>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</si>
  <si>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</si>
  <si>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</si>
  <si>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</si>
  <si>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</si>
  <si>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</si>
  <si>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</si>
  <si>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</si>
  <si>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</si>
  <si>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</si>
  <si>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</si>
  <si>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</si>
  <si>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</si>
  <si>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</si>
  <si>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</si>
  <si>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</si>
  <si>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</si>
  <si>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</si>
  <si>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</si>
  <si>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</si>
  <si>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</si>
  <si>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</si>
  <si>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</si>
  <si>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</si>
  <si>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</si>
  <si>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</si>
  <si>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</si>
  <si>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</si>
  <si>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</si>
  <si>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</si>
  <si>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</si>
  <si>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</si>
  <si>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</si>
  <si>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</si>
  <si>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</si>
  <si>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</si>
  <si>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</si>
  <si>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</si>
  <si>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</si>
  <si>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</si>
  <si>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</si>
  <si>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</si>
  <si>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</si>
  <si>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</si>
  <si>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</si>
  <si>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</si>
  <si>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</si>
  <si>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</si>
  <si>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</si>
  <si>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</si>
  <si>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</si>
  <si>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</si>
  <si>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</si>
  <si>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</si>
  <si>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</si>
  <si>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</si>
  <si>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</si>
  <si>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</si>
  <si>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</si>
  <si>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</si>
  <si>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</si>
  <si>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</si>
  <si>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</si>
  <si>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</si>
  <si>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</si>
  <si>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</si>
  <si>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</si>
  <si>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</si>
  <si>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</si>
  <si>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</si>
  <si>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</si>
  <si>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</si>
  <si>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</si>
  <si>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</si>
  <si>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</si>
  <si>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</si>
  <si>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</si>
  <si>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</si>
  <si>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</si>
  <si>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</si>
  <si>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</si>
  <si>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</si>
  <si>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</si>
  <si>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</si>
  <si>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</si>
  <si>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</si>
  <si>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</si>
  <si>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</si>
  <si>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</si>
  <si>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</si>
  <si>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</si>
  <si>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</si>
  <si>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</si>
  <si>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</si>
  <si>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</si>
  <si>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</si>
  <si>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</si>
  <si>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</si>
  <si>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</si>
  <si>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</si>
  <si>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</si>
  <si>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</si>
  <si>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</si>
  <si>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</si>
  <si>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</si>
  <si>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</si>
  <si>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</si>
  <si>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</si>
  <si>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</si>
  <si>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</si>
  <si>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</si>
  <si>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</si>
  <si>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</si>
  <si>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</si>
  <si>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</si>
  <si>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</si>
  <si>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</si>
  <si>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</si>
  <si>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</si>
  <si>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</si>
  <si>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</si>
  <si>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</si>
  <si>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</si>
  <si>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</si>
  <si>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</si>
  <si>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</si>
  <si>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</si>
  <si>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</si>
  <si>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</si>
  <si>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</si>
  <si>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</si>
  <si>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</si>
  <si>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</si>
  <si>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</si>
  <si>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</si>
  <si>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</si>
  <si>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</si>
  <si>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</si>
  <si>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</si>
  <si>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</si>
  <si>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</si>
  <si>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</si>
  <si>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</si>
  <si>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</si>
  <si>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</si>
  <si>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</si>
  <si>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</si>
  <si>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</si>
  <si>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</si>
  <si>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</si>
  <si>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</si>
  <si>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</si>
  <si>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</si>
  <si>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</si>
  <si>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</si>
  <si>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</si>
  <si>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</si>
  <si>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</si>
  <si>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</si>
  <si>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</si>
  <si>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</si>
  <si>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</si>
  <si>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</si>
  <si>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</si>
  <si>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</si>
  <si>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</si>
  <si>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</si>
  <si>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</si>
  <si>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</si>
  <si>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</si>
  <si>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</si>
  <si>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</si>
  <si>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</si>
  <si>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</si>
  <si>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</si>
  <si>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</si>
  <si>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</si>
  <si>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</si>
  <si>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</si>
  <si>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</si>
  <si>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</si>
  <si>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</si>
  <si>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</si>
  <si>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</si>
  <si>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</si>
  <si>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</si>
  <si>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</si>
  <si>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</si>
  <si>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</si>
  <si>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</si>
  <si>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</si>
  <si>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</si>
  <si>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</si>
  <si>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</si>
  <si>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</si>
  <si>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</si>
  <si>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</si>
  <si>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</si>
  <si>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</si>
  <si>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</si>
  <si>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</si>
  <si>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</si>
  <si>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</si>
  <si>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</si>
  <si>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</si>
  <si>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</si>
  <si>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</si>
  <si>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</si>
  <si>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</si>
  <si>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</si>
  <si>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</si>
  <si>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</si>
  <si>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</si>
  <si>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</si>
  <si>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</si>
  <si>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</si>
  <si>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</si>
  <si>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</si>
  <si>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</si>
  <si>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</si>
  <si>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</si>
  <si>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</si>
  <si>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</si>
  <si>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</si>
  <si>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</si>
  <si>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</si>
  <si>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</si>
  <si>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</si>
  <si>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</si>
  <si>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</si>
  <si>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</si>
  <si>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</si>
  <si>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</si>
  <si>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</si>
  <si>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</si>
  <si>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</si>
  <si>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</si>
  <si>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</si>
  <si>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</si>
  <si>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</si>
  <si>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</si>
  <si>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</si>
  <si>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</si>
  <si>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</si>
  <si>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</si>
  <si>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</si>
  <si>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</si>
  <si>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</si>
  <si>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</si>
  <si>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</si>
  <si>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</si>
  <si>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</si>
  <si>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</si>
  <si>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</si>
  <si>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</si>
  <si>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</si>
  <si>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</si>
  <si>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</si>
  <si>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</si>
  <si>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</si>
  <si>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</si>
  <si>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</si>
  <si>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</si>
  <si>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</si>
  <si>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</si>
  <si>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</si>
  <si>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</si>
  <si>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</si>
  <si>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</si>
  <si>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</si>
  <si>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</si>
  <si>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</si>
  <si>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</si>
  <si>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</si>
  <si>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</si>
  <si>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</si>
  <si>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</si>
  <si>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</si>
  <si>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</si>
  <si>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</si>
  <si>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</si>
  <si>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</si>
  <si>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</si>
  <si>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</si>
  <si>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</si>
  <si>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</si>
  <si>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</si>
  <si>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</si>
  <si>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</si>
  <si>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</si>
  <si>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</si>
  <si>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</si>
  <si>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</si>
  <si>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</si>
  <si>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</si>
  <si>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</si>
  <si>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</si>
  <si>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</si>
  <si>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</si>
  <si>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</si>
  <si>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</si>
  <si>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</si>
  <si>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</si>
  <si>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</si>
  <si>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</si>
  <si>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</si>
  <si>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</si>
  <si>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</si>
  <si>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</si>
  <si>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</si>
  <si>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</si>
  <si>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</si>
  <si>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</si>
  <si>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</si>
  <si>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</si>
  <si>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</si>
  <si>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</si>
  <si>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</si>
  <si>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</si>
  <si>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</si>
  <si>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</si>
  <si>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</si>
  <si>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</si>
  <si>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</si>
  <si>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</si>
  <si>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</si>
  <si>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</si>
  <si>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</si>
  <si>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</si>
  <si>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</si>
  <si>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</si>
  <si>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</si>
  <si>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</si>
  <si>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</si>
  <si>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</si>
  <si>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</si>
  <si>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</si>
  <si>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</si>
  <si>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</si>
  <si>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</si>
  <si>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</si>
  <si>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</si>
  <si>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</si>
  <si>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</si>
  <si>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</si>
  <si>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</si>
  <si>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</si>
  <si>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</si>
  <si>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</si>
  <si>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</si>
  <si>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</si>
  <si>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</si>
  <si>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</si>
  <si>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</si>
  <si>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</si>
  <si>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</si>
  <si>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</si>
  <si>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</si>
  <si>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</si>
  <si>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</si>
  <si>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</si>
  <si>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</si>
  <si>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</si>
  <si>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</si>
  <si>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</si>
  <si>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</si>
  <si>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</si>
  <si>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</si>
  <si>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</si>
  <si>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</si>
  <si>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</si>
  <si>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</si>
  <si>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</si>
  <si>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</si>
  <si>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</si>
  <si>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</si>
  <si>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</si>
  <si>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</si>
  <si>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</si>
  <si>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</si>
  <si>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</si>
  <si>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</si>
  <si>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</si>
  <si>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</si>
  <si>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</si>
  <si>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</si>
  <si>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</si>
  <si>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</si>
  <si>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</si>
  <si>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</si>
  <si>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</si>
  <si>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</si>
  <si>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</si>
  <si>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</si>
  <si>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</si>
  <si>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</si>
  <si>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</si>
  <si>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</si>
  <si>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</si>
  <si>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</si>
  <si>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</si>
  <si>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</si>
  <si>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</si>
  <si>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</si>
  <si>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</si>
  <si>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</si>
  <si>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</si>
  <si>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</si>
  <si>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</si>
  <si>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</si>
  <si>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</si>
  <si>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</si>
  <si>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</si>
  <si>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</si>
  <si>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</si>
  <si>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</si>
  <si>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</si>
  <si>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</si>
  <si>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</si>
  <si>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</si>
  <si>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</si>
  <si>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</si>
  <si>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</si>
  <si>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</si>
  <si>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</si>
  <si>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</si>
  <si>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</si>
  <si>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</si>
  <si>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</si>
  <si>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</si>
  <si>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</si>
  <si>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</si>
  <si>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</si>
  <si>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</si>
  <si>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</si>
  <si>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</si>
  <si>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</si>
  <si>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</si>
  <si>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</si>
  <si>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</si>
  <si>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</si>
  <si>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</si>
  <si>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</si>
  <si>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</si>
  <si>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</si>
  <si>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</si>
  <si>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</si>
  <si>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</si>
  <si>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</si>
  <si>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</si>
  <si>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</si>
  <si>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</si>
  <si>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</si>
  <si>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</si>
  <si>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</si>
  <si>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</si>
  <si>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</si>
  <si>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</si>
  <si>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</si>
  <si>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</si>
  <si>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</si>
  <si>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</si>
  <si>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</si>
  <si>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</si>
  <si>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</si>
  <si>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</si>
  <si>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</si>
  <si>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</si>
  <si>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</si>
  <si>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</si>
  <si>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</si>
  <si>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</si>
  <si>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</si>
  <si>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</si>
  <si>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</si>
  <si>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</si>
  <si>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</si>
  <si>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</si>
  <si>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</si>
  <si>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</si>
  <si>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</si>
  <si>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</si>
  <si>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</si>
  <si>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</si>
  <si>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</si>
  <si>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</si>
  <si>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</si>
  <si>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</si>
  <si>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</si>
  <si>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</si>
  <si>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</si>
  <si>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</si>
  <si>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</si>
  <si>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</si>
  <si>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</si>
  <si>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</si>
  <si>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</si>
  <si>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</si>
  <si>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</si>
  <si>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</si>
  <si>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</si>
  <si>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</si>
  <si>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</si>
  <si>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</si>
  <si>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</si>
  <si>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</si>
  <si>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</si>
  <si>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</si>
  <si>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</si>
  <si>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</si>
  <si>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</si>
  <si>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</si>
  <si>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</si>
  <si>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</si>
  <si>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</si>
  <si>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</si>
  <si>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</si>
  <si>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</si>
  <si>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</si>
  <si>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</si>
  <si>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</si>
  <si>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</si>
  <si>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</si>
  <si>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</si>
  <si>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</si>
  <si>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</si>
  <si>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</si>
  <si>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</si>
  <si>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</si>
  <si>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</si>
  <si>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</si>
  <si>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</si>
  <si>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</si>
  <si>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</si>
  <si>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</si>
  <si>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</si>
  <si>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</si>
  <si>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</si>
  <si>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</si>
  <si>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</si>
  <si>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</si>
  <si>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</si>
  <si>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</si>
  <si>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</si>
  <si>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</si>
  <si>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</si>
  <si>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</si>
  <si>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</si>
  <si>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</si>
  <si>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</si>
  <si>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</si>
  <si>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</si>
  <si>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</si>
  <si>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</si>
  <si>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</si>
  <si>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</si>
  <si>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</si>
  <si>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</si>
  <si>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</si>
  <si>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</si>
  <si>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</si>
  <si>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</si>
  <si>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</si>
  <si>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</si>
  <si>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</si>
  <si>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</si>
  <si>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</si>
  <si>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</si>
  <si>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</si>
  <si>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</si>
  <si>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</si>
  <si>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</si>
  <si>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</si>
  <si>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</si>
  <si>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</si>
  <si>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</si>
  <si>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</si>
  <si>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</si>
  <si>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</si>
  <si>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</si>
  <si>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</si>
  <si>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</si>
  <si>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</si>
  <si>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</si>
  <si>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</si>
  <si>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</si>
  <si>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</si>
  <si>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</si>
  <si>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</si>
  <si>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</si>
  <si>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</si>
  <si>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</si>
  <si>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</si>
  <si>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</si>
  <si>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</si>
  <si>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</si>
  <si>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</si>
  <si>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</si>
  <si>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</si>
  <si>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</si>
  <si>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</si>
  <si>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</si>
  <si>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</si>
  <si>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</si>
  <si>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</si>
  <si>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</si>
  <si>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</si>
  <si>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</si>
  <si>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</si>
  <si>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</si>
  <si>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</si>
  <si>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</si>
  <si>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</si>
  <si>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</si>
  <si>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</si>
  <si>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</si>
  <si>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</si>
  <si>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</si>
  <si>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</si>
  <si>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</si>
  <si>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</si>
  <si>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</si>
  <si>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</si>
  <si>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</si>
  <si>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</si>
  <si>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</si>
  <si>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</si>
  <si>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</si>
  <si>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</si>
  <si>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</si>
  <si>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</si>
  <si>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</si>
  <si>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</si>
  <si>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</si>
  <si>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</si>
  <si>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</si>
  <si>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</si>
  <si>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</si>
  <si>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</si>
  <si>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</si>
  <si>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</si>
  <si>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</si>
  <si>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</si>
  <si>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</si>
  <si>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</si>
  <si>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</si>
  <si>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</si>
  <si>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</si>
  <si>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</si>
  <si>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</si>
  <si>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</si>
  <si>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</si>
  <si>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</si>
  <si>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</si>
  <si>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</si>
  <si>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</si>
  <si>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</si>
  <si>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</si>
  <si>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</si>
  <si>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</si>
  <si>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</si>
  <si>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</si>
  <si>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</si>
  <si>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</si>
  <si>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</si>
  <si>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</si>
  <si>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</si>
  <si>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</si>
  <si>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</si>
  <si>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</si>
  <si>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</si>
  <si>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</si>
  <si>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</si>
  <si>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</si>
  <si>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</si>
  <si>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</si>
  <si>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</si>
  <si>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</si>
  <si>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</si>
  <si>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</si>
  <si>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</si>
  <si>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</si>
  <si>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</si>
  <si>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</si>
  <si>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</si>
  <si>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</si>
  <si>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</si>
  <si>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</si>
  <si>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</si>
  <si>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</si>
  <si>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</si>
  <si>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</si>
  <si>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</si>
  <si>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</si>
  <si>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</si>
  <si>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</si>
  <si>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</si>
  <si>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</si>
  <si>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</si>
  <si>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</si>
  <si>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</si>
  <si>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</si>
  <si>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</si>
  <si>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</si>
  <si>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</si>
  <si>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</si>
  <si>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</si>
  <si>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</si>
  <si>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</si>
  <si>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</si>
  <si>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</si>
  <si>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</si>
  <si>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</si>
  <si>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</si>
  <si>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</si>
  <si>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</si>
  <si>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</si>
  <si>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</si>
  <si>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</si>
  <si>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</si>
  <si>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</si>
  <si>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</si>
  <si>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</si>
  <si>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</si>
  <si>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</si>
  <si>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</si>
  <si>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</si>
  <si>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</si>
  <si>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</si>
  <si>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</si>
  <si>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</si>
  <si>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</si>
  <si>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</si>
  <si>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</si>
  <si>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</si>
  <si>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</si>
  <si>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</si>
  <si>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</si>
  <si>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</si>
  <si>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</si>
  <si>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</si>
  <si>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</si>
  <si>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</si>
  <si>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</si>
  <si>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</si>
  <si>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</si>
  <si>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</si>
  <si>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</si>
  <si>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</si>
  <si>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</si>
  <si>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</si>
  <si>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</si>
  <si>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</si>
  <si>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</si>
  <si>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</si>
  <si>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</si>
  <si>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</si>
  <si>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</si>
  <si>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</si>
  <si>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</si>
  <si>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</si>
  <si>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</si>
  <si>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</si>
  <si>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</si>
  <si>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</si>
  <si>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</si>
  <si>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</si>
  <si>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</si>
  <si>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</si>
  <si>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</si>
  <si>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</si>
  <si>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</si>
  <si>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</si>
  <si>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</si>
  <si>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</si>
  <si>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</si>
  <si>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</si>
  <si>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</si>
  <si>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</si>
  <si>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</si>
  <si>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</si>
  <si>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</si>
  <si>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</si>
  <si>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</si>
  <si>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</si>
  <si>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</si>
  <si>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</si>
  <si>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</si>
  <si>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</si>
  <si>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</si>
  <si>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</si>
  <si>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</si>
  <si>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</si>
  <si>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</si>
  <si>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</si>
  <si>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</si>
  <si>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</si>
  <si>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</si>
  <si>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</si>
  <si>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</si>
  <si>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</si>
  <si>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</si>
  <si>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</si>
  <si>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</si>
  <si>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</si>
  <si>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</si>
  <si>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</si>
  <si>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</si>
  <si>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</si>
  <si>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</si>
  <si>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</si>
  <si>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</si>
  <si>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</si>
  <si>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</si>
  <si>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</si>
  <si>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</si>
  <si>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</si>
  <si>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</si>
  <si>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</si>
  <si>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</si>
  <si>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</si>
  <si>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</si>
  <si>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</si>
  <si>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</si>
  <si>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</si>
  <si>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</si>
  <si>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</si>
  <si>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</si>
  <si>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</si>
  <si>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</si>
  <si>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</si>
  <si>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</si>
  <si>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</si>
  <si>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</si>
  <si>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</si>
  <si>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</si>
  <si>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</si>
  <si>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</si>
  <si>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</si>
  <si>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</si>
  <si>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</si>
  <si>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</si>
  <si>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</si>
  <si>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</si>
  <si>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</si>
  <si>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</si>
  <si>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</si>
  <si>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</si>
  <si>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</si>
  <si>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</si>
  <si>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</si>
  <si>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</si>
  <si>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</si>
  <si>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</si>
  <si>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</si>
  <si>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</si>
  <si>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</si>
  <si>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</si>
  <si>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</si>
  <si>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</si>
  <si>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</si>
  <si>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</si>
  <si>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</si>
  <si>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</si>
  <si>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</si>
  <si>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</si>
  <si>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</si>
  <si>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</si>
  <si>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</si>
  <si>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</si>
  <si>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</si>
  <si>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</si>
  <si>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</si>
  <si>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</si>
  <si>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</si>
  <si>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</si>
  <si>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</si>
  <si>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</si>
  <si>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</si>
  <si>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</si>
  <si>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</si>
  <si>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</si>
  <si>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</si>
  <si>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</si>
  <si>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</si>
  <si>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</si>
  <si>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</si>
  <si>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</si>
  <si>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</si>
  <si>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</si>
  <si>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</si>
  <si>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</si>
  <si>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</si>
  <si>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</si>
  <si>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</si>
  <si>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</si>
  <si>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</si>
  <si>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</si>
  <si>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</si>
  <si>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</si>
  <si>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</si>
  <si>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</si>
  <si>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</si>
  <si>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</si>
  <si>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</si>
  <si>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</si>
  <si>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</si>
  <si>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</si>
  <si>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</si>
  <si>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</si>
  <si>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</si>
  <si>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</si>
  <si>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</si>
  <si>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</si>
  <si>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</si>
  <si>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</si>
  <si>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</si>
  <si>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</si>
  <si>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</si>
  <si>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</si>
  <si>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</si>
  <si>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</si>
  <si>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</si>
  <si>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</si>
  <si>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</si>
  <si>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</si>
  <si>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</si>
  <si>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</si>
  <si>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</si>
  <si>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</si>
  <si>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</si>
  <si>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</si>
  <si>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</si>
  <si>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</si>
  <si>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</si>
  <si>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</si>
  <si>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</si>
  <si>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</si>
  <si>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</si>
  <si>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</si>
  <si>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</si>
  <si>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</si>
  <si>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</si>
  <si>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</si>
  <si>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</si>
  <si>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</si>
  <si>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</si>
  <si>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</si>
  <si>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</si>
  <si>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</si>
  <si>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</si>
  <si>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</si>
  <si>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</si>
  <si>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</si>
  <si>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</si>
  <si>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</si>
  <si>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</si>
  <si>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</si>
  <si>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</si>
  <si>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</si>
  <si>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</si>
  <si>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</si>
  <si>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</si>
  <si>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</si>
  <si>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</si>
  <si>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</si>
  <si>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</si>
  <si>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</si>
  <si>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</si>
  <si>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</si>
  <si>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</si>
  <si>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</si>
  <si>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</si>
  <si>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</si>
  <si>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</si>
  <si>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</si>
  <si>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</si>
  <si>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</si>
  <si>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</si>
  <si>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</si>
  <si>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</si>
  <si>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</si>
  <si>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</si>
  <si>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</si>
  <si>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</si>
  <si>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</si>
  <si>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</si>
  <si>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</si>
  <si>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</si>
  <si>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</si>
  <si>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</si>
  <si>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</si>
  <si>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</si>
  <si>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</si>
  <si>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</si>
  <si>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</si>
  <si>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</si>
  <si>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</si>
  <si>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</si>
  <si>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</si>
  <si>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</si>
  <si>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</si>
  <si>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</si>
  <si>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</si>
  <si>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</si>
  <si>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</si>
  <si>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</si>
  <si>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</si>
  <si>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</si>
  <si>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</si>
  <si>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</si>
  <si>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</si>
  <si>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</si>
  <si>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</si>
  <si>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</si>
  <si>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</si>
  <si>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</si>
  <si>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</si>
  <si>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</si>
  <si>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</si>
  <si>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</si>
  <si>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</si>
  <si>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</si>
  <si>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</si>
  <si>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</si>
  <si>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</si>
  <si>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</si>
  <si>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</si>
  <si>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</si>
  <si>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</si>
  <si>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</si>
  <si>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</si>
  <si>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</si>
  <si>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</si>
  <si>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</si>
  <si>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</si>
  <si>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</si>
  <si>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</si>
  <si>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</si>
  <si>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</si>
  <si>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</si>
  <si>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</si>
  <si>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</si>
  <si>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</si>
  <si>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</si>
  <si>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</si>
  <si>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</si>
  <si>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</si>
  <si>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</si>
  <si>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</si>
  <si>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</si>
  <si>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</si>
  <si>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</si>
  <si>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</si>
  <si>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</si>
  <si>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</si>
  <si>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</si>
  <si>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</si>
  <si>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</si>
  <si>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</si>
  <si>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</si>
  <si>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</si>
  <si>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</si>
  <si>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</si>
  <si>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</si>
  <si>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</si>
  <si>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</si>
  <si>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</si>
  <si>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</si>
  <si>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</si>
  <si>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</si>
  <si>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</si>
  <si>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</si>
  <si>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</si>
  <si>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</si>
  <si>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</si>
  <si>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</si>
  <si>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</si>
  <si>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</si>
  <si>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</si>
  <si>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</si>
  <si>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</si>
  <si>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</si>
  <si>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</si>
  <si>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</si>
  <si>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</si>
  <si>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</si>
  <si>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</si>
  <si>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</si>
  <si>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</si>
  <si>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</si>
  <si>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</si>
  <si>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</si>
  <si>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</si>
  <si>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</si>
  <si>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</si>
  <si>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</si>
  <si>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</si>
  <si>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</si>
  <si>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</si>
  <si>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</si>
  <si>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</si>
  <si>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</si>
  <si>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</si>
  <si>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</si>
  <si>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</si>
  <si>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</si>
  <si>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</si>
  <si>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</si>
  <si>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</si>
  <si>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</si>
  <si>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</si>
  <si>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</si>
  <si>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</si>
  <si>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</si>
  <si>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</si>
  <si>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</si>
  <si>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</si>
  <si>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</si>
  <si>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</si>
  <si>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</si>
  <si>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</si>
  <si>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</si>
  <si>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</si>
  <si>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</si>
  <si>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</si>
  <si>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</si>
  <si>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</si>
  <si>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</si>
  <si>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</si>
  <si>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</si>
  <si>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</si>
  <si>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</si>
  <si>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</si>
  <si>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</si>
  <si>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</si>
  <si>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</si>
  <si>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</si>
  <si>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</si>
  <si>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</si>
  <si>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</si>
  <si>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</si>
  <si>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</si>
  <si>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</si>
  <si>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</si>
  <si>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</si>
  <si>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</si>
  <si>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</si>
  <si>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</si>
  <si>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</si>
  <si>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</si>
  <si>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</si>
  <si>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</si>
  <si>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</si>
  <si>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</si>
  <si>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</si>
  <si>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</si>
  <si>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</si>
  <si>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</si>
  <si>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</si>
  <si>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</si>
  <si>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</si>
  <si>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</si>
  <si>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</si>
  <si>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</si>
  <si>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</si>
  <si>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</si>
  <si>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</si>
  <si>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</si>
  <si>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</si>
  <si>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</si>
  <si>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</si>
  <si>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</si>
  <si>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</si>
  <si>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</si>
  <si>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</si>
  <si>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</si>
  <si>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</si>
  <si>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</si>
  <si>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</si>
  <si>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</si>
  <si>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</si>
  <si>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</si>
  <si>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</si>
  <si>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</si>
  <si>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</si>
  <si>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</si>
  <si>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</si>
  <si>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</si>
  <si>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</si>
  <si>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</si>
  <si>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</si>
  <si>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</si>
  <si>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</si>
  <si>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</si>
  <si>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</si>
  <si>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</si>
  <si>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</si>
  <si>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</si>
  <si>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</si>
  <si>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</si>
  <si>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</si>
  <si>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</si>
  <si>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</si>
  <si>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</si>
  <si>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</si>
  <si>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</si>
  <si>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</si>
  <si>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</si>
  <si>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</si>
  <si>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</si>
  <si>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</si>
  <si>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</si>
  <si>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</si>
  <si>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</si>
  <si>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</si>
  <si>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</si>
  <si>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</si>
  <si>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</si>
  <si>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</si>
  <si>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</si>
  <si>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</si>
  <si>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</si>
  <si>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</si>
  <si>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</si>
  <si>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</si>
  <si>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</si>
  <si>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</si>
  <si>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</si>
  <si>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</si>
  <si>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</si>
  <si>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</si>
  <si>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</si>
  <si>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</si>
  <si>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</si>
  <si>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</si>
  <si>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</si>
  <si>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</si>
  <si>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</si>
  <si>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</si>
  <si>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</si>
  <si>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</si>
  <si>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</si>
  <si>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</si>
  <si>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</si>
  <si>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</si>
  <si>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</si>
  <si>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</si>
  <si>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</si>
  <si>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</si>
  <si>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</si>
  <si>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</si>
  <si>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</si>
  <si>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</si>
  <si>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first peak</t>
  </si>
  <si>
    <t>second peak</t>
  </si>
  <si>
    <t>third peak</t>
  </si>
  <si>
    <t>height</t>
  </si>
  <si>
    <t>time</t>
  </si>
  <si>
    <t>path</t>
  </si>
  <si>
    <t>v</t>
  </si>
  <si>
    <t>vx</t>
  </si>
  <si>
    <t>vz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</si>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</sst>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Sheet1!$U$10:$U$17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Sheet1!$P$33:$P$47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Sheet1!$Y$39:$Y$59</c:f>
              <c:numCache>
                <c:formatCode>General</c:formatCode>
                <c:ptCount val="21"/>
              </c:numCache>
            </c:numRef>
          </c:xVal>
          <c:yVal>
            <c:numRef>
              <c:f>Sheet1!$W$39:$W$59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80"/>
  <sheetViews>
    <sheetView showGridLines="0" tabSelected="1" zoomScale="120" zoomScaleNormal="120" zoomScaleSheetLayoutView="50" workbookViewId="0">
      <pane xSplit="2" ySplit="5" topLeftCell="T174" activePane="bottomRight" state="frozen"/>
      <selection pane="topRight" activeCell="C1" sqref="C1"/>
      <selection pane="bottomLeft" activeCell="A6" sqref="A6"/>
      <selection pane="bottomRight" activeCell="AG180" sqref="AG180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-1</v>
      </c>
      <c r="AH6" s="10">
        <v>1</v>
      </c>
      <c r="AI6" s="44" t="s">
        <v>1320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17100</v>
      </c>
      <c r="K62" s="3">
        <f t="shared" ref="K62:K72" si="4">I62*J62^2/2/4.184/10^12</f>
        <v>16.272679398900571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144</v>
      </c>
      <c r="W62" s="9" t="s">
        <v>382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BG62" s="40">
        <v>2</v>
      </c>
      <c r="BH62" s="40" t="s">
        <v>1416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180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1610</v>
      </c>
      <c r="D177" s="6" t="s">
        <v>1611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80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1612</v>
      </c>
      <c r="C178" s="6" t="s">
        <v>1612</v>
      </c>
      <c r="D178" s="6" t="s">
        <v>1612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1614</v>
      </c>
      <c r="BI178" s="40">
        <v>1</v>
      </c>
    </row>
    <row r="179" spans="1:61" x14ac:dyDescent="0.25">
      <c r="A179" s="6">
        <v>178</v>
      </c>
      <c r="B179" s="6" t="s">
        <v>1615</v>
      </c>
      <c r="C179" s="6" t="s">
        <v>1615</v>
      </c>
      <c r="D179" s="6" t="s">
        <v>1616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1617</v>
      </c>
      <c r="C180" s="6" t="s">
        <v>1617</v>
      </c>
      <c r="D180" s="6" t="s">
        <v>1618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400</v>
      </c>
      <c r="J180" s="3">
        <v>20500</v>
      </c>
      <c r="K180" s="3">
        <f t="shared" si="13"/>
        <v>2.0088432122370936E-2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0</v>
      </c>
      <c r="AN180" s="23">
        <v>0</v>
      </c>
      <c r="AO180" s="23">
        <v>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2</v>
      </c>
      <c r="BH180" s="40" t="s">
        <v>1619</v>
      </c>
      <c r="BI180" s="40">
        <v>1</v>
      </c>
    </row>
  </sheetData>
  <autoFilter ref="A5:BI176" xr:uid="{332638A7-5364-4539-88F3-B010BD503402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1607</v>
      </c>
      <c r="G90" s="56" t="s">
        <v>1609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1608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8" workbookViewId="0">
      <selection activeCell="J17" sqref="J17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37.251854349444017</v>
      </c>
      <c r="J11">
        <f>90-H11</f>
        <v>52.748145650555983</v>
      </c>
    </row>
    <row r="12" spans="1:22" x14ac:dyDescent="0.25">
      <c r="E12" t="s">
        <v>89</v>
      </c>
      <c r="F12" s="15">
        <v>88</v>
      </c>
      <c r="L12">
        <v>6.1</v>
      </c>
    </row>
    <row r="13" spans="1:22" x14ac:dyDescent="0.25">
      <c r="J13" s="16">
        <f>SQRT(F15^2+J20^2)</f>
        <v>80.403786602373401</v>
      </c>
      <c r="L13">
        <f>J13/L12</f>
        <v>13.180948623339903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64</v>
      </c>
    </row>
    <row r="16" spans="1:22" x14ac:dyDescent="0.25">
      <c r="M16">
        <f>90-H11</f>
        <v>52.748145650555983</v>
      </c>
    </row>
    <row r="18" spans="3:22" x14ac:dyDescent="0.25">
      <c r="E18" t="s">
        <v>88</v>
      </c>
      <c r="F18" s="15">
        <v>24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48.67</v>
      </c>
      <c r="K20">
        <v>52</v>
      </c>
      <c r="N20">
        <f>8/COS(RADIANS(H11))</f>
        <v>10.050473325296675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116</v>
      </c>
      <c r="N30" t="s">
        <v>1148</v>
      </c>
      <c r="O30">
        <v>1.5</v>
      </c>
    </row>
    <row r="31" spans="3:22" x14ac:dyDescent="0.25">
      <c r="E31" t="s">
        <v>94</v>
      </c>
      <c r="F31" s="15">
        <v>15830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20.05759013336149</v>
      </c>
      <c r="G32">
        <v>60</v>
      </c>
      <c r="H32">
        <f>G32/F32</f>
        <v>2.9913862832505935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670.86823045699975</v>
      </c>
      <c r="G33">
        <v>225</v>
      </c>
      <c r="H33">
        <f>F33/G33</f>
        <v>2.981636579808888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0.20057590133361491</v>
      </c>
    </row>
    <row r="37" spans="2:12" x14ac:dyDescent="0.25">
      <c r="F37">
        <f>F33/100</f>
        <v>6.7086823045699973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1</v>
      </c>
      <c r="G41" t="s">
        <v>12</v>
      </c>
    </row>
    <row r="42" spans="2:12" x14ac:dyDescent="0.25">
      <c r="E42" t="s">
        <v>178</v>
      </c>
      <c r="F42" s="15">
        <v>3300</v>
      </c>
      <c r="G42" t="s">
        <v>171</v>
      </c>
    </row>
    <row r="43" spans="2:12" x14ac:dyDescent="0.25">
      <c r="E43" t="s">
        <v>180</v>
      </c>
      <c r="F43">
        <f>F41/F42</f>
        <v>3.0303030303030303E-4</v>
      </c>
      <c r="G43" t="s">
        <v>181</v>
      </c>
      <c r="H43">
        <f>F43*100*100*100</f>
        <v>303.030303030303</v>
      </c>
    </row>
    <row r="44" spans="2:12" x14ac:dyDescent="0.25">
      <c r="E44" t="s">
        <v>179</v>
      </c>
      <c r="F44">
        <f>((6*F43)/PI())^(1/3)</f>
        <v>8.3335327392970712E-2</v>
      </c>
      <c r="G44" t="s">
        <v>182</v>
      </c>
    </row>
    <row r="45" spans="2:12" x14ac:dyDescent="0.25">
      <c r="F45">
        <f>F44*100</f>
        <v>8.3335327392970715</v>
      </c>
    </row>
    <row r="47" spans="2:12" x14ac:dyDescent="0.25">
      <c r="F47">
        <v>4.4000000000000003E-3</v>
      </c>
    </row>
    <row r="48" spans="2:12" x14ac:dyDescent="0.25">
      <c r="F48">
        <f>F41*F47</f>
        <v>4.4000000000000003E-3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70" workbookViewId="0">
      <selection activeCell="A4" sqref="A4:XFD4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87"/>
  <sheetViews>
    <sheetView topLeftCell="F73" workbookViewId="0">
      <selection activeCell="M91" sqref="M9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AVERAGE(I54:I91)</f>
        <v>48.08124999999999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9:17" x14ac:dyDescent="0.25">
      <c r="I65">
        <v>55.3</v>
      </c>
    </row>
    <row r="66" spans="9:17" x14ac:dyDescent="0.25">
      <c r="I66">
        <v>43.8</v>
      </c>
    </row>
    <row r="67" spans="9:17" x14ac:dyDescent="0.25">
      <c r="I67">
        <v>44.7</v>
      </c>
    </row>
    <row r="68" spans="9:17" x14ac:dyDescent="0.25">
      <c r="I68">
        <v>59</v>
      </c>
    </row>
    <row r="69" spans="9:17" x14ac:dyDescent="0.25">
      <c r="I69">
        <v>49.3</v>
      </c>
    </row>
    <row r="70" spans="9:17" x14ac:dyDescent="0.25">
      <c r="I70">
        <v>44.4</v>
      </c>
    </row>
    <row r="74" spans="9:17" x14ac:dyDescent="0.25">
      <c r="P74" t="s">
        <v>1503</v>
      </c>
      <c r="Q74">
        <v>63.22</v>
      </c>
    </row>
    <row r="75" spans="9:17" x14ac:dyDescent="0.25">
      <c r="P75" t="s">
        <v>1604</v>
      </c>
      <c r="Q75">
        <v>44.83</v>
      </c>
    </row>
    <row r="76" spans="9:17" x14ac:dyDescent="0.25">
      <c r="P76" t="s">
        <v>1605</v>
      </c>
      <c r="Q76">
        <f>Q75*SIN(RADIANS(Q74))</f>
        <v>40.021675415470952</v>
      </c>
    </row>
    <row r="77" spans="9:17" x14ac:dyDescent="0.25">
      <c r="P77" t="s">
        <v>1606</v>
      </c>
      <c r="Q77">
        <f>Q75*COS(RADIANS(Q74))</f>
        <v>20.198871179813189</v>
      </c>
    </row>
    <row r="80" spans="9:17" x14ac:dyDescent="0.25">
      <c r="O80" t="s">
        <v>1602</v>
      </c>
      <c r="P80" t="s">
        <v>1601</v>
      </c>
      <c r="Q80" t="s">
        <v>1603</v>
      </c>
    </row>
    <row r="81" spans="13:17" x14ac:dyDescent="0.25">
      <c r="N81">
        <v>0.09</v>
      </c>
      <c r="O81">
        <f>N81-$N$81</f>
        <v>0</v>
      </c>
      <c r="Q81">
        <v>0</v>
      </c>
    </row>
    <row r="82" spans="13:17" x14ac:dyDescent="0.25">
      <c r="M82" t="s">
        <v>1598</v>
      </c>
      <c r="N82">
        <v>0.36</v>
      </c>
      <c r="O82">
        <f t="shared" ref="O82:O85" si="11">N82-$N$81</f>
        <v>0.27</v>
      </c>
    </row>
    <row r="83" spans="13:17" x14ac:dyDescent="0.25">
      <c r="M83" t="s">
        <v>1599</v>
      </c>
      <c r="N83">
        <v>0.46</v>
      </c>
      <c r="O83">
        <f t="shared" si="11"/>
        <v>0.37</v>
      </c>
    </row>
    <row r="84" spans="13:17" x14ac:dyDescent="0.25">
      <c r="M84" t="s">
        <v>1600</v>
      </c>
      <c r="N84">
        <v>0.56999999999999995</v>
      </c>
      <c r="O84">
        <f t="shared" si="11"/>
        <v>0.48</v>
      </c>
      <c r="P84">
        <v>18.7</v>
      </c>
    </row>
    <row r="85" spans="13:17" x14ac:dyDescent="0.25">
      <c r="M85" t="s">
        <v>1334</v>
      </c>
      <c r="N85">
        <v>0.67</v>
      </c>
      <c r="O85">
        <f t="shared" si="11"/>
        <v>0.58000000000000007</v>
      </c>
      <c r="P85">
        <f>P84-Q77*O87</f>
        <v>16.68011288201868</v>
      </c>
    </row>
    <row r="87" spans="13:17" x14ac:dyDescent="0.25">
      <c r="O87">
        <f>N85-N84</f>
        <v>0.10000000000000009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37"/>
  <sheetViews>
    <sheetView topLeftCell="A121" workbookViewId="0">
      <selection activeCell="B124" sqref="B124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1613</v>
      </c>
      <c r="C137" s="31">
        <v>45039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AllEventData</vt:lpstr>
      <vt:lpstr>Sheet2</vt:lpstr>
      <vt:lpstr>Calculator</vt:lpstr>
      <vt:lpstr>Countries</vt:lpstr>
      <vt:lpstr>Sheet1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2023-05-04T12:10:45Z</dcterms:modified>
</cp:coreProperties>
</file>