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GitHub\strewnlab\"/>
    </mc:Choice>
  </mc:AlternateContent>
  <xr:revisionPtr revIDLastSave="0" documentId="13_ncr:1_{84613A7B-F011-4ABF-A551-552CCC47F9CD}" xr6:coauthVersionLast="47" xr6:coauthVersionMax="47" xr10:uidLastSave="{00000000-0000-0000-0000-000000000000}"/>
  <bookViews>
    <workbookView xWindow="-120" yWindow="-120" windowWidth="29040" windowHeight="15840" xr2:uid="{C46C341C-A654-450D-9491-A8F495B2F4ED}"/>
  </bookViews>
  <sheets>
    <sheet name="AllEventData" sheetId="1" r:id="rId1"/>
    <sheet name="Sheet3" sheetId="10" r:id="rId2"/>
    <sheet name="Sheet2" sheetId="9" r:id="rId3"/>
    <sheet name="Calculator" sheetId="2" r:id="rId4"/>
    <sheet name="Time Zones" sheetId="12" r:id="rId5"/>
    <sheet name="Countries" sheetId="5" r:id="rId6"/>
    <sheet name="Cameras" sheetId="8" r:id="rId7"/>
    <sheet name="DataQuality" sheetId="6" r:id="rId8"/>
    <sheet name="Database" sheetId="7" r:id="rId9"/>
    <sheet name="Sources" sheetId="4" r:id="rId10"/>
    <sheet name="Log" sheetId="3" r:id="rId11"/>
    <sheet name="EventID" sheetId="11" r:id="rId12"/>
  </sheets>
  <externalReferences>
    <externalReference r:id="rId13"/>
  </externalReferences>
  <definedNames>
    <definedName name="_xlnm._FilterDatabase" localSheetId="0" hidden="1">AllEventData!$A$5:$BI$189</definedName>
    <definedName name="_xlnm._FilterDatabase" localSheetId="8" hidden="1">Database!$A$1:$H$39</definedName>
    <definedName name="_xlnm._FilterDatabase" localSheetId="11" hidden="1">EventID!$A$5:$BJ$189</definedName>
    <definedName name="_xlnm._FilterDatabase" localSheetId="9" hidden="1">Sources!$A$1:$C$1</definedName>
    <definedName name="_xlnm._FilterDatabase" localSheetId="4" hidden="1">'Time Zones'!$A$1:$L$1</definedName>
    <definedName name="solver_adj" localSheetId="0" hidden="1">AllEventData!$I$7</definedName>
    <definedName name="solver_adj" localSheetId="3" hidden="1">Calculator!$F$18</definedName>
    <definedName name="solver_adj" localSheetId="6" hidden="1">Cameras!$P$72</definedName>
    <definedName name="solver_adj" localSheetId="11" hidden="1">EventID!$J$7</definedName>
    <definedName name="solver_cvg" localSheetId="0" hidden="1">0.0001</definedName>
    <definedName name="solver_cvg" localSheetId="3" hidden="1">0.0001</definedName>
    <definedName name="solver_cvg" localSheetId="6" hidden="1">0.0001</definedName>
    <definedName name="solver_cvg" localSheetId="11" hidden="1">0.0001</definedName>
    <definedName name="solver_drv" localSheetId="0" hidden="1">1</definedName>
    <definedName name="solver_drv" localSheetId="3" hidden="1">1</definedName>
    <definedName name="solver_drv" localSheetId="6" hidden="1">1</definedName>
    <definedName name="solver_drv" localSheetId="11" hidden="1">1</definedName>
    <definedName name="solver_eng" localSheetId="0" hidden="1">1</definedName>
    <definedName name="solver_eng" localSheetId="3" hidden="1">1</definedName>
    <definedName name="solver_eng" localSheetId="6" hidden="1">1</definedName>
    <definedName name="solver_eng" localSheetId="11" hidden="1">1</definedName>
    <definedName name="solver_est" localSheetId="0" hidden="1">1</definedName>
    <definedName name="solver_est" localSheetId="3" hidden="1">1</definedName>
    <definedName name="solver_est" localSheetId="6" hidden="1">1</definedName>
    <definedName name="solver_est" localSheetId="11" hidden="1">1</definedName>
    <definedName name="solver_itr" localSheetId="0" hidden="1">2147483647</definedName>
    <definedName name="solver_itr" localSheetId="3" hidden="1">2147483647</definedName>
    <definedName name="solver_itr" localSheetId="6" hidden="1">2147483647</definedName>
    <definedName name="solver_itr" localSheetId="11" hidden="1">2147483647</definedName>
    <definedName name="solver_mip" localSheetId="0" hidden="1">2147483647</definedName>
    <definedName name="solver_mip" localSheetId="3" hidden="1">2147483647</definedName>
    <definedName name="solver_mip" localSheetId="6" hidden="1">2147483647</definedName>
    <definedName name="solver_mip" localSheetId="11" hidden="1">2147483647</definedName>
    <definedName name="solver_mni" localSheetId="0" hidden="1">30</definedName>
    <definedName name="solver_mni" localSheetId="3" hidden="1">30</definedName>
    <definedName name="solver_mni" localSheetId="6" hidden="1">30</definedName>
    <definedName name="solver_mni" localSheetId="11" hidden="1">30</definedName>
    <definedName name="solver_mrt" localSheetId="0" hidden="1">0.075</definedName>
    <definedName name="solver_mrt" localSheetId="3" hidden="1">0.075</definedName>
    <definedName name="solver_mrt" localSheetId="6" hidden="1">0.075</definedName>
    <definedName name="solver_mrt" localSheetId="11" hidden="1">0.075</definedName>
    <definedName name="solver_msl" localSheetId="0" hidden="1">2</definedName>
    <definedName name="solver_msl" localSheetId="3" hidden="1">2</definedName>
    <definedName name="solver_msl" localSheetId="6" hidden="1">2</definedName>
    <definedName name="solver_msl" localSheetId="11" hidden="1">2</definedName>
    <definedName name="solver_neg" localSheetId="0" hidden="1">1</definedName>
    <definedName name="solver_neg" localSheetId="3" hidden="1">1</definedName>
    <definedName name="solver_neg" localSheetId="6" hidden="1">1</definedName>
    <definedName name="solver_neg" localSheetId="11" hidden="1">1</definedName>
    <definedName name="solver_nod" localSheetId="0" hidden="1">2147483647</definedName>
    <definedName name="solver_nod" localSheetId="3" hidden="1">2147483647</definedName>
    <definedName name="solver_nod" localSheetId="6" hidden="1">2147483647</definedName>
    <definedName name="solver_nod" localSheetId="11" hidden="1">2147483647</definedName>
    <definedName name="solver_num" localSheetId="0" hidden="1">0</definedName>
    <definedName name="solver_num" localSheetId="3" hidden="1">0</definedName>
    <definedName name="solver_num" localSheetId="6" hidden="1">0</definedName>
    <definedName name="solver_num" localSheetId="11" hidden="1">0</definedName>
    <definedName name="solver_nwt" localSheetId="0" hidden="1">1</definedName>
    <definedName name="solver_nwt" localSheetId="3" hidden="1">1</definedName>
    <definedName name="solver_nwt" localSheetId="6" hidden="1">1</definedName>
    <definedName name="solver_nwt" localSheetId="11" hidden="1">1</definedName>
    <definedName name="solver_opt" localSheetId="0" hidden="1">AllEventData!$K$7</definedName>
    <definedName name="solver_opt" localSheetId="3" hidden="1">Calculator!$H$11</definedName>
    <definedName name="solver_opt" localSheetId="6" hidden="1">Cameras!$O$77</definedName>
    <definedName name="solver_opt" localSheetId="11" hidden="1">EventID!$L$7</definedName>
    <definedName name="solver_pre" localSheetId="0" hidden="1">0.000001</definedName>
    <definedName name="solver_pre" localSheetId="3" hidden="1">0.000001</definedName>
    <definedName name="solver_pre" localSheetId="6" hidden="1">0.000001</definedName>
    <definedName name="solver_pre" localSheetId="11" hidden="1">0.000001</definedName>
    <definedName name="solver_rbv" localSheetId="0" hidden="1">1</definedName>
    <definedName name="solver_rbv" localSheetId="3" hidden="1">1</definedName>
    <definedName name="solver_rbv" localSheetId="6" hidden="1">1</definedName>
    <definedName name="solver_rbv" localSheetId="11" hidden="1">1</definedName>
    <definedName name="solver_rlx" localSheetId="0" hidden="1">2</definedName>
    <definedName name="solver_rlx" localSheetId="3" hidden="1">2</definedName>
    <definedName name="solver_rlx" localSheetId="6" hidden="1">2</definedName>
    <definedName name="solver_rlx" localSheetId="11" hidden="1">2</definedName>
    <definedName name="solver_rsd" localSheetId="0" hidden="1">0</definedName>
    <definedName name="solver_rsd" localSheetId="3" hidden="1">0</definedName>
    <definedName name="solver_rsd" localSheetId="6" hidden="1">0</definedName>
    <definedName name="solver_rsd" localSheetId="11" hidden="1">0</definedName>
    <definedName name="solver_scl" localSheetId="0" hidden="1">1</definedName>
    <definedName name="solver_scl" localSheetId="3" hidden="1">1</definedName>
    <definedName name="solver_scl" localSheetId="6" hidden="1">1</definedName>
    <definedName name="solver_scl" localSheetId="11" hidden="1">1</definedName>
    <definedName name="solver_sho" localSheetId="0" hidden="1">2</definedName>
    <definedName name="solver_sho" localSheetId="3" hidden="1">2</definedName>
    <definedName name="solver_sho" localSheetId="6" hidden="1">2</definedName>
    <definedName name="solver_sho" localSheetId="11" hidden="1">2</definedName>
    <definedName name="solver_ssz" localSheetId="0" hidden="1">100</definedName>
    <definedName name="solver_ssz" localSheetId="3" hidden="1">100</definedName>
    <definedName name="solver_ssz" localSheetId="6" hidden="1">100</definedName>
    <definedName name="solver_ssz" localSheetId="11" hidden="1">100</definedName>
    <definedName name="solver_tim" localSheetId="0" hidden="1">2147483647</definedName>
    <definedName name="solver_tim" localSheetId="3" hidden="1">2147483647</definedName>
    <definedName name="solver_tim" localSheetId="6" hidden="1">2147483647</definedName>
    <definedName name="solver_tim" localSheetId="11" hidden="1">2147483647</definedName>
    <definedName name="solver_tol" localSheetId="0" hidden="1">0.01</definedName>
    <definedName name="solver_tol" localSheetId="3" hidden="1">0.01</definedName>
    <definedName name="solver_tol" localSheetId="6" hidden="1">0.01</definedName>
    <definedName name="solver_tol" localSheetId="11" hidden="1">0.01</definedName>
    <definedName name="solver_typ" localSheetId="0" hidden="1">3</definedName>
    <definedName name="solver_typ" localSheetId="3" hidden="1">3</definedName>
    <definedName name="solver_typ" localSheetId="6" hidden="1">2</definedName>
    <definedName name="solver_typ" localSheetId="11" hidden="1">3</definedName>
    <definedName name="solver_val" localSheetId="0" hidden="1">0.15001</definedName>
    <definedName name="solver_val" localSheetId="3" hidden="1">43.8</definedName>
    <definedName name="solver_val" localSheetId="6" hidden="1">0</definedName>
    <definedName name="solver_val" localSheetId="11" hidden="1">0.15001</definedName>
    <definedName name="solver_ver" localSheetId="0" hidden="1">3</definedName>
    <definedName name="solver_ver" localSheetId="3" hidden="1">3</definedName>
    <definedName name="solver_ver" localSheetId="6" hidden="1">3</definedName>
    <definedName name="solver_ver" localSheetId="11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96" i="1" l="1"/>
  <c r="R196" i="1"/>
  <c r="T196" i="1"/>
  <c r="K196" i="1"/>
  <c r="H196" i="1"/>
  <c r="H193" i="1"/>
  <c r="H194" i="1"/>
  <c r="H195" i="1"/>
  <c r="T195" i="1"/>
  <c r="K195" i="1"/>
  <c r="R195" i="1"/>
  <c r="T193" i="1"/>
  <c r="T194" i="1"/>
  <c r="T192" i="1"/>
  <c r="R194" i="1"/>
  <c r="R193" i="1"/>
  <c r="R192" i="1"/>
  <c r="K192" i="1"/>
  <c r="H192" i="1"/>
  <c r="U191" i="1"/>
  <c r="R191" i="1"/>
  <c r="T191" i="1"/>
  <c r="K191" i="1" l="1"/>
  <c r="H191" i="1"/>
  <c r="U190" i="1"/>
  <c r="T190" i="1"/>
  <c r="R190" i="1"/>
  <c r="K190" i="1"/>
  <c r="H190" i="1"/>
  <c r="U189" i="11"/>
  <c r="S189" i="11"/>
  <c r="V189" i="11" s="1"/>
  <c r="L189" i="11"/>
  <c r="I189" i="11"/>
  <c r="V188" i="11"/>
  <c r="S188" i="11"/>
  <c r="L188" i="11"/>
  <c r="I188" i="11"/>
  <c r="U187" i="11"/>
  <c r="L187" i="11"/>
  <c r="I187" i="11"/>
  <c r="U186" i="11"/>
  <c r="S186" i="11"/>
  <c r="L186" i="11"/>
  <c r="I186" i="11"/>
  <c r="V185" i="11"/>
  <c r="U185" i="11"/>
  <c r="L185" i="11"/>
  <c r="I185" i="11"/>
  <c r="U183" i="11"/>
  <c r="L183" i="11"/>
  <c r="I183" i="11"/>
  <c r="U184" i="11"/>
  <c r="S184" i="11"/>
  <c r="V184" i="11" s="1"/>
  <c r="L184" i="11"/>
  <c r="I184" i="11"/>
  <c r="L182" i="11"/>
  <c r="I182" i="11"/>
  <c r="V181" i="11"/>
  <c r="U181" i="11"/>
  <c r="S181" i="11"/>
  <c r="L181" i="11"/>
  <c r="I181" i="11"/>
  <c r="L180" i="11"/>
  <c r="I180" i="11"/>
  <c r="U178" i="11"/>
  <c r="L178" i="11"/>
  <c r="I178" i="11"/>
  <c r="U177" i="11"/>
  <c r="L177" i="11"/>
  <c r="I177" i="11"/>
  <c r="L179" i="11"/>
  <c r="I179" i="11"/>
  <c r="I67" i="11"/>
  <c r="I118" i="11"/>
  <c r="I59" i="11"/>
  <c r="I51" i="11"/>
  <c r="I66" i="11"/>
  <c r="I57" i="11"/>
  <c r="I56" i="11"/>
  <c r="I65" i="11"/>
  <c r="I32" i="11"/>
  <c r="I103" i="11"/>
  <c r="I113" i="11"/>
  <c r="I62" i="11"/>
  <c r="I55" i="11"/>
  <c r="I85" i="11"/>
  <c r="I72" i="11"/>
  <c r="S176" i="11"/>
  <c r="N176" i="11"/>
  <c r="U176" i="11" s="1"/>
  <c r="L176" i="11"/>
  <c r="I176" i="11"/>
  <c r="V172" i="11"/>
  <c r="U172" i="11"/>
  <c r="L172" i="11"/>
  <c r="I172" i="11"/>
  <c r="U175" i="11"/>
  <c r="L175" i="11"/>
  <c r="I175" i="11"/>
  <c r="U174" i="11"/>
  <c r="S174" i="11"/>
  <c r="L174" i="11"/>
  <c r="I174" i="11"/>
  <c r="S173" i="11"/>
  <c r="N173" i="11"/>
  <c r="U173" i="11" s="1"/>
  <c r="L173" i="11"/>
  <c r="I173" i="11"/>
  <c r="V171" i="11"/>
  <c r="U171" i="11"/>
  <c r="L171" i="11"/>
  <c r="I171" i="11"/>
  <c r="V170" i="11"/>
  <c r="U170" i="11"/>
  <c r="S170" i="11"/>
  <c r="L170" i="11"/>
  <c r="I170" i="11"/>
  <c r="L169" i="11"/>
  <c r="I169" i="11"/>
  <c r="L168" i="11"/>
  <c r="I168" i="11"/>
  <c r="L166" i="11"/>
  <c r="I166" i="11"/>
  <c r="U164" i="11"/>
  <c r="L164" i="11"/>
  <c r="I164" i="11"/>
  <c r="V162" i="11"/>
  <c r="S162" i="11"/>
  <c r="L162" i="11"/>
  <c r="I162" i="11"/>
  <c r="L160" i="11"/>
  <c r="I160" i="11"/>
  <c r="U165" i="11"/>
  <c r="L165" i="11"/>
  <c r="I165" i="11"/>
  <c r="I163" i="11"/>
  <c r="U161" i="11"/>
  <c r="L161" i="11"/>
  <c r="I161" i="11"/>
  <c r="L159" i="11"/>
  <c r="I159" i="11"/>
  <c r="N158" i="11"/>
  <c r="L158" i="11"/>
  <c r="I158" i="11"/>
  <c r="L157" i="11"/>
  <c r="I157" i="11"/>
  <c r="L156" i="11"/>
  <c r="I156" i="11"/>
  <c r="L155" i="11"/>
  <c r="I155" i="11"/>
  <c r="L154" i="11"/>
  <c r="I154" i="11"/>
  <c r="L153" i="11"/>
  <c r="I153" i="11"/>
  <c r="L43" i="11"/>
  <c r="I43" i="11"/>
  <c r="L61" i="11"/>
  <c r="I61" i="11"/>
  <c r="L52" i="11"/>
  <c r="I52" i="11"/>
  <c r="L152" i="11"/>
  <c r="I152" i="11"/>
  <c r="L150" i="11"/>
  <c r="I150" i="11"/>
  <c r="L151" i="11"/>
  <c r="I151" i="11"/>
  <c r="L149" i="11"/>
  <c r="I149" i="11"/>
  <c r="L144" i="11"/>
  <c r="I144" i="11"/>
  <c r="L145" i="11"/>
  <c r="I145" i="11"/>
  <c r="L148" i="11"/>
  <c r="I148" i="11"/>
  <c r="L146" i="11"/>
  <c r="I146" i="11"/>
  <c r="L147" i="11"/>
  <c r="I147" i="11"/>
  <c r="L128" i="11"/>
  <c r="I128" i="11"/>
  <c r="L136" i="11"/>
  <c r="I136" i="11"/>
  <c r="L60" i="11"/>
  <c r="I60" i="11"/>
  <c r="L143" i="11"/>
  <c r="I143" i="11"/>
  <c r="L142" i="11"/>
  <c r="I142" i="11"/>
  <c r="L141" i="11"/>
  <c r="I141" i="11"/>
  <c r="L140" i="11"/>
  <c r="I140" i="11"/>
  <c r="L139" i="11"/>
  <c r="I139" i="11"/>
  <c r="L138" i="11"/>
  <c r="I138" i="11"/>
  <c r="L137" i="11"/>
  <c r="I137" i="11"/>
  <c r="L135" i="11"/>
  <c r="I135" i="11"/>
  <c r="L134" i="11"/>
  <c r="I134" i="11"/>
  <c r="L133" i="11"/>
  <c r="I133" i="11"/>
  <c r="L132" i="11"/>
  <c r="I132" i="11"/>
  <c r="L131" i="11"/>
  <c r="I131" i="11"/>
  <c r="L130" i="11"/>
  <c r="I130" i="11"/>
  <c r="L98" i="11"/>
  <c r="I98" i="11"/>
  <c r="L129" i="11"/>
  <c r="I129" i="11"/>
  <c r="L63" i="11"/>
  <c r="I63" i="11"/>
  <c r="L38" i="11"/>
  <c r="I38" i="11"/>
  <c r="L126" i="11"/>
  <c r="I126" i="11"/>
  <c r="U127" i="11"/>
  <c r="L127" i="11"/>
  <c r="I127" i="11"/>
  <c r="L119" i="11"/>
  <c r="I119" i="11"/>
  <c r="L125" i="11"/>
  <c r="I125" i="11"/>
  <c r="L124" i="11"/>
  <c r="I124" i="11"/>
  <c r="L120" i="11"/>
  <c r="I120" i="11"/>
  <c r="L123" i="11"/>
  <c r="I123" i="11"/>
  <c r="L122" i="11"/>
  <c r="I122" i="11"/>
  <c r="L121" i="11"/>
  <c r="I121" i="11"/>
  <c r="L117" i="11"/>
  <c r="I117" i="11"/>
  <c r="L116" i="11"/>
  <c r="I116" i="11"/>
  <c r="L115" i="11"/>
  <c r="I115" i="11"/>
  <c r="L114" i="11"/>
  <c r="I114" i="11"/>
  <c r="L111" i="11"/>
  <c r="I111" i="11"/>
  <c r="L110" i="11"/>
  <c r="I110" i="11"/>
  <c r="L112" i="11"/>
  <c r="I112" i="11"/>
  <c r="L109" i="11"/>
  <c r="I109" i="11"/>
  <c r="L108" i="11"/>
  <c r="I108" i="11"/>
  <c r="L107" i="11"/>
  <c r="I107" i="11"/>
  <c r="L106" i="11"/>
  <c r="I106" i="11"/>
  <c r="U105" i="11"/>
  <c r="L105" i="11"/>
  <c r="I105" i="11"/>
  <c r="U104" i="11"/>
  <c r="L104" i="11"/>
  <c r="I104" i="11"/>
  <c r="I102" i="11"/>
  <c r="L101" i="11"/>
  <c r="I101" i="11"/>
  <c r="L7" i="11"/>
  <c r="U99" i="11"/>
  <c r="T99" i="11"/>
  <c r="L99" i="11"/>
  <c r="I99" i="11"/>
  <c r="AF97" i="11"/>
  <c r="L97" i="11"/>
  <c r="I97" i="11"/>
  <c r="AF96" i="11"/>
  <c r="L96" i="11"/>
  <c r="I96" i="11"/>
  <c r="L95" i="11"/>
  <c r="I95" i="11"/>
  <c r="L93" i="11"/>
  <c r="L92" i="11"/>
  <c r="I92" i="11"/>
  <c r="L90" i="11"/>
  <c r="I90" i="11"/>
  <c r="L91" i="11"/>
  <c r="I91" i="11"/>
  <c r="L89" i="11"/>
  <c r="I89" i="11"/>
  <c r="L88" i="11"/>
  <c r="I88" i="11"/>
  <c r="S87" i="11"/>
  <c r="L87" i="11"/>
  <c r="I87" i="11"/>
  <c r="S86" i="11"/>
  <c r="L86" i="11"/>
  <c r="I86" i="11"/>
  <c r="V68" i="11"/>
  <c r="U68" i="11"/>
  <c r="T68" i="11"/>
  <c r="S68" i="11"/>
  <c r="L68" i="11"/>
  <c r="I68" i="11"/>
  <c r="L54" i="11"/>
  <c r="I54" i="11"/>
  <c r="L26" i="11"/>
  <c r="I26" i="11"/>
  <c r="L50" i="11"/>
  <c r="I50" i="11"/>
  <c r="I10" i="11"/>
  <c r="I8" i="11"/>
  <c r="I13" i="11"/>
  <c r="I15" i="11"/>
  <c r="I9" i="11"/>
  <c r="I18" i="11"/>
  <c r="I6" i="11"/>
  <c r="I36" i="11"/>
  <c r="L28" i="11"/>
  <c r="I28" i="11"/>
  <c r="AT21" i="11"/>
  <c r="AS21" i="11"/>
  <c r="L21" i="11"/>
  <c r="I21" i="11"/>
  <c r="L84" i="11"/>
  <c r="I84" i="11"/>
  <c r="L83" i="11"/>
  <c r="I83" i="11"/>
  <c r="L82" i="11"/>
  <c r="I82" i="11"/>
  <c r="L81" i="11"/>
  <c r="I81" i="11"/>
  <c r="N79" i="11"/>
  <c r="L79" i="11"/>
  <c r="I79" i="11"/>
  <c r="L78" i="11"/>
  <c r="I78" i="11"/>
  <c r="L77" i="11"/>
  <c r="I77" i="11"/>
  <c r="L80" i="11"/>
  <c r="I80" i="11"/>
  <c r="L76" i="11"/>
  <c r="I76" i="11"/>
  <c r="L75" i="11"/>
  <c r="I75" i="11"/>
  <c r="L47" i="11"/>
  <c r="AT46" i="11"/>
  <c r="AS46" i="11"/>
  <c r="U46" i="11"/>
  <c r="L46" i="11"/>
  <c r="I46" i="11"/>
  <c r="AT44" i="11"/>
  <c r="AS44" i="11"/>
  <c r="L44" i="11"/>
  <c r="I44" i="11"/>
  <c r="L74" i="11"/>
  <c r="I74" i="11"/>
  <c r="L70" i="11"/>
  <c r="I70" i="11"/>
  <c r="L35" i="11"/>
  <c r="I35" i="11"/>
  <c r="L73" i="11"/>
  <c r="I73" i="11"/>
  <c r="L29" i="11"/>
  <c r="I29" i="11"/>
  <c r="AG53" i="11"/>
  <c r="AB53" i="11"/>
  <c r="L53" i="11"/>
  <c r="I53" i="11"/>
  <c r="U48" i="11"/>
  <c r="L48" i="11"/>
  <c r="I48" i="11"/>
  <c r="L71" i="11"/>
  <c r="I71" i="11"/>
  <c r="L42" i="11"/>
  <c r="I42" i="11"/>
  <c r="AW24" i="11"/>
  <c r="AT24" i="11"/>
  <c r="AS24" i="11"/>
  <c r="L24" i="11"/>
  <c r="I24" i="11"/>
  <c r="L69" i="11"/>
  <c r="I69" i="11"/>
  <c r="L64" i="11"/>
  <c r="I64" i="11"/>
  <c r="T189" i="1"/>
  <c r="R189" i="1"/>
  <c r="U189" i="1" s="1"/>
  <c r="K189" i="1"/>
  <c r="H189" i="1"/>
  <c r="I85" i="8"/>
  <c r="I84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105" i="8"/>
  <c r="I81" i="8"/>
  <c r="I80" i="8"/>
  <c r="I77" i="8"/>
  <c r="I76" i="8"/>
  <c r="N73" i="8"/>
  <c r="N74" i="8"/>
  <c r="O74" i="8" s="1"/>
  <c r="N75" i="8"/>
  <c r="N76" i="8"/>
  <c r="O76" i="8" s="1"/>
  <c r="N77" i="8"/>
  <c r="N78" i="8"/>
  <c r="O78" i="8" s="1"/>
  <c r="N79" i="8"/>
  <c r="N80" i="8"/>
  <c r="O80" i="8" s="1"/>
  <c r="N81" i="8"/>
  <c r="N82" i="8"/>
  <c r="O82" i="8" s="1"/>
  <c r="N72" i="8"/>
  <c r="O72" i="8" s="1"/>
  <c r="O73" i="8"/>
  <c r="O75" i="8"/>
  <c r="O77" i="8"/>
  <c r="O79" i="8"/>
  <c r="O81" i="8"/>
  <c r="N89" i="8"/>
  <c r="N90" i="8"/>
  <c r="N91" i="8"/>
  <c r="N92" i="8"/>
  <c r="N93" i="8"/>
  <c r="N94" i="8"/>
  <c r="N95" i="8"/>
  <c r="N96" i="8"/>
  <c r="N97" i="8"/>
  <c r="N88" i="8"/>
  <c r="I93" i="8" l="1"/>
  <c r="I92" i="8"/>
  <c r="O71" i="8"/>
  <c r="R188" i="1" l="1"/>
  <c r="U188" i="1"/>
  <c r="X21" i="10"/>
  <c r="B11" i="10"/>
  <c r="K188" i="1"/>
  <c r="H188" i="1"/>
  <c r="T187" i="1" l="1"/>
  <c r="K187" i="1"/>
  <c r="H187" i="1"/>
  <c r="K186" i="1"/>
  <c r="T186" i="1"/>
  <c r="R186" i="1"/>
  <c r="H186" i="1"/>
  <c r="T185" i="1"/>
  <c r="U185" i="1"/>
  <c r="K185" i="1"/>
  <c r="H185" i="1"/>
  <c r="T184" i="1"/>
  <c r="K184" i="1"/>
  <c r="H184" i="1"/>
  <c r="T183" i="1"/>
  <c r="R183" i="1"/>
  <c r="U183" i="1" s="1"/>
  <c r="K183" i="1"/>
  <c r="H183" i="1"/>
  <c r="K182" i="1"/>
  <c r="H182" i="1"/>
  <c r="R181" i="1"/>
  <c r="T181" i="1" l="1"/>
  <c r="U181" i="1"/>
  <c r="K181" i="1"/>
  <c r="H181" i="1"/>
  <c r="K180" i="1" l="1"/>
  <c r="H85" i="9"/>
  <c r="I85" i="9"/>
  <c r="H180" i="1"/>
  <c r="L98" i="9"/>
  <c r="M98" i="9"/>
  <c r="T179" i="1"/>
  <c r="K179" i="1"/>
  <c r="H179" i="1"/>
  <c r="T178" i="1" l="1"/>
  <c r="K178" i="1"/>
  <c r="H178" i="1"/>
  <c r="K177" i="1"/>
  <c r="H177" i="1"/>
  <c r="T11" i="1" l="1"/>
  <c r="H162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3" i="1"/>
  <c r="H164" i="1"/>
  <c r="AS18" i="1"/>
  <c r="AS19" i="1"/>
  <c r="AS31" i="1"/>
  <c r="AS8" i="1"/>
  <c r="AV8" i="1"/>
  <c r="M161" i="1" l="1"/>
  <c r="T161" i="1" s="1"/>
  <c r="R161" i="1"/>
  <c r="K161" i="1"/>
  <c r="H161" i="1"/>
  <c r="U160" i="1"/>
  <c r="T160" i="1"/>
  <c r="K160" i="1"/>
  <c r="H160" i="1"/>
  <c r="T159" i="1" l="1"/>
  <c r="K159" i="1"/>
  <c r="H159" i="1"/>
  <c r="R158" i="1"/>
  <c r="T158" i="1"/>
  <c r="K158" i="1"/>
  <c r="H158" i="1"/>
  <c r="R157" i="1"/>
  <c r="M157" i="1"/>
  <c r="T157" i="1" l="1"/>
  <c r="K157" i="1"/>
  <c r="H157" i="1"/>
  <c r="H44" i="1"/>
  <c r="H43" i="1"/>
  <c r="E8" i="2"/>
  <c r="E9" i="2"/>
  <c r="K22" i="2"/>
  <c r="K23" i="2"/>
  <c r="U156" i="1" l="1"/>
  <c r="T156" i="1"/>
  <c r="K156" i="1"/>
  <c r="H156" i="1"/>
  <c r="R155" i="1" l="1"/>
  <c r="T155" i="1"/>
  <c r="U155" i="1"/>
  <c r="K155" i="1"/>
  <c r="H155" i="1"/>
  <c r="K154" i="1"/>
  <c r="H154" i="1"/>
  <c r="K153" i="1"/>
  <c r="H153" i="1"/>
  <c r="K151" i="1"/>
  <c r="H151" i="1"/>
  <c r="I53" i="8"/>
  <c r="O40" i="8"/>
  <c r="O41" i="8"/>
  <c r="O43" i="8"/>
  <c r="O46" i="8"/>
  <c r="O47" i="8"/>
  <c r="L47" i="8"/>
  <c r="N47" i="8" s="1"/>
  <c r="L46" i="8"/>
  <c r="N46" i="8" s="1"/>
  <c r="L45" i="8"/>
  <c r="N45" i="8" s="1"/>
  <c r="K6" i="1"/>
  <c r="K7" i="1"/>
  <c r="P37" i="8"/>
  <c r="P34" i="8"/>
  <c r="P33" i="8"/>
  <c r="P39" i="8"/>
  <c r="P42" i="8"/>
  <c r="P44" i="8"/>
  <c r="P38" i="8"/>
  <c r="P35" i="8"/>
  <c r="P45" i="8"/>
  <c r="P36" i="8"/>
  <c r="M47" i="8" l="1"/>
  <c r="M45" i="8"/>
  <c r="M46" i="8"/>
  <c r="O38" i="8"/>
  <c r="O37" i="8"/>
  <c r="O33" i="8"/>
  <c r="O34" i="8"/>
  <c r="O42" i="8"/>
  <c r="O36" i="8"/>
  <c r="O44" i="8"/>
  <c r="O45" i="8"/>
  <c r="O39" i="8"/>
  <c r="O35" i="8"/>
  <c r="Q47" i="8"/>
  <c r="Q33" i="8"/>
  <c r="Q42" i="8"/>
  <c r="Q38" i="8"/>
  <c r="Q41" i="8"/>
  <c r="Q37" i="8"/>
  <c r="Q44" i="8"/>
  <c r="Q40" i="8"/>
  <c r="Q36" i="8"/>
  <c r="Q43" i="8"/>
  <c r="Q39" i="8"/>
  <c r="Q35" i="8"/>
  <c r="Q34" i="8"/>
  <c r="Q45" i="8"/>
  <c r="Q46" i="8"/>
  <c r="H33" i="8"/>
  <c r="L33" i="8" s="1"/>
  <c r="N33" i="8" s="1"/>
  <c r="H34" i="8"/>
  <c r="L34" i="8" s="1"/>
  <c r="N34" i="8" s="1"/>
  <c r="H35" i="8"/>
  <c r="L35" i="8" s="1"/>
  <c r="N35" i="8" s="1"/>
  <c r="H36" i="8"/>
  <c r="L36" i="8" s="1"/>
  <c r="N36" i="8" s="1"/>
  <c r="H37" i="8"/>
  <c r="L37" i="8" s="1"/>
  <c r="N37" i="8" s="1"/>
  <c r="H38" i="8"/>
  <c r="L38" i="8" s="1"/>
  <c r="N38" i="8" s="1"/>
  <c r="H39" i="8"/>
  <c r="L39" i="8" s="1"/>
  <c r="N39" i="8" s="1"/>
  <c r="H40" i="8"/>
  <c r="L40" i="8" s="1"/>
  <c r="N40" i="8" s="1"/>
  <c r="H41" i="8"/>
  <c r="L41" i="8" s="1"/>
  <c r="N41" i="8" s="1"/>
  <c r="H42" i="8"/>
  <c r="L42" i="8" s="1"/>
  <c r="N42" i="8" s="1"/>
  <c r="H43" i="8"/>
  <c r="L43" i="8" s="1"/>
  <c r="N43" i="8" s="1"/>
  <c r="H44" i="8"/>
  <c r="L44" i="8" s="1"/>
  <c r="N44" i="8" s="1"/>
  <c r="S27" i="8"/>
  <c r="S10" i="8"/>
  <c r="V10" i="8"/>
  <c r="V11" i="8"/>
  <c r="V12" i="8"/>
  <c r="V13" i="8"/>
  <c r="V14" i="8"/>
  <c r="V15" i="8"/>
  <c r="V16" i="8"/>
  <c r="V17" i="8"/>
  <c r="S17" i="8"/>
  <c r="S16" i="8"/>
  <c r="S11" i="8"/>
  <c r="S12" i="8"/>
  <c r="S13" i="8"/>
  <c r="S14" i="8"/>
  <c r="S15" i="8"/>
  <c r="K150" i="1" l="1"/>
  <c r="T150" i="1"/>
  <c r="H150" i="1"/>
  <c r="R149" i="1"/>
  <c r="U149" i="1"/>
  <c r="K149" i="1"/>
  <c r="H149" i="1"/>
  <c r="K148" i="1"/>
  <c r="H148" i="1"/>
  <c r="H146" i="1" l="1"/>
  <c r="T147" i="1"/>
  <c r="K147" i="1"/>
  <c r="H147" i="1"/>
  <c r="T145" i="1"/>
  <c r="K145" i="1"/>
  <c r="H145" i="1"/>
  <c r="K144" i="1" l="1"/>
  <c r="H144" i="1"/>
  <c r="M143" i="1" l="1"/>
  <c r="K143" i="1"/>
  <c r="H143" i="1"/>
  <c r="K142" i="1"/>
  <c r="H142" i="1"/>
  <c r="P22" i="2" l="1"/>
  <c r="K141" i="1"/>
  <c r="H141" i="1"/>
  <c r="K140" i="1" l="1"/>
  <c r="H140" i="1"/>
  <c r="K139" i="1"/>
  <c r="H139" i="1"/>
  <c r="K138" i="1"/>
  <c r="H138" i="1" l="1"/>
  <c r="K137" i="1"/>
  <c r="H137" i="1"/>
  <c r="K136" i="1"/>
  <c r="H136" i="1"/>
  <c r="K135" i="1"/>
  <c r="H135" i="1"/>
  <c r="K134" i="1" l="1"/>
  <c r="H134" i="1"/>
  <c r="K133" i="1"/>
  <c r="H133" i="1"/>
  <c r="K132" i="1" l="1"/>
  <c r="H132" i="1"/>
  <c r="H45" i="1"/>
  <c r="H41" i="1"/>
  <c r="H38" i="1"/>
  <c r="H35" i="1"/>
  <c r="H37" i="1"/>
  <c r="H36" i="1"/>
  <c r="H33" i="1"/>
  <c r="S32" i="9"/>
  <c r="O30" i="9"/>
  <c r="N30" i="9"/>
  <c r="R23" i="9"/>
  <c r="R24" i="9" s="1"/>
  <c r="K28" i="9"/>
  <c r="K29" i="9" s="1"/>
  <c r="K30" i="9" s="1"/>
  <c r="K32" i="9" s="1"/>
  <c r="K130" i="1"/>
  <c r="H130" i="1"/>
  <c r="K129" i="1"/>
  <c r="H129" i="1"/>
  <c r="K128" i="1"/>
  <c r="H128" i="1"/>
  <c r="K127" i="1"/>
  <c r="H127" i="1"/>
  <c r="H126" i="1"/>
  <c r="K126" i="1"/>
  <c r="H125" i="1"/>
  <c r="K125" i="1"/>
  <c r="K124" i="1"/>
  <c r="H124" i="1"/>
  <c r="K123" i="1"/>
  <c r="H123" i="1"/>
  <c r="K122" i="1"/>
  <c r="H122" i="1"/>
  <c r="K121" i="1"/>
  <c r="H121" i="1"/>
  <c r="K33" i="1"/>
  <c r="K120" i="1"/>
  <c r="H120" i="1"/>
  <c r="K119" i="1"/>
  <c r="H119" i="1"/>
  <c r="K118" i="1"/>
  <c r="H118" i="1"/>
  <c r="K117" i="1"/>
  <c r="H117" i="1"/>
  <c r="K116" i="1"/>
  <c r="H116" i="1"/>
  <c r="H115" i="1"/>
  <c r="H114" i="1"/>
  <c r="K114" i="1"/>
  <c r="K115" i="1"/>
  <c r="K113" i="1"/>
  <c r="H113" i="1"/>
  <c r="K112" i="1"/>
  <c r="H112" i="1"/>
  <c r="K111" i="1"/>
  <c r="H111" i="1"/>
  <c r="L25" i="2"/>
  <c r="L26" i="2" s="1"/>
  <c r="K110" i="1" l="1"/>
  <c r="H110" i="1"/>
  <c r="K109" i="1"/>
  <c r="H109" i="1"/>
  <c r="H82" i="1"/>
  <c r="K108" i="1"/>
  <c r="H108" i="1"/>
  <c r="K107" i="1" l="1"/>
  <c r="H107" i="1"/>
  <c r="K106" i="1"/>
  <c r="H106" i="1"/>
  <c r="K105" i="1"/>
  <c r="H105" i="1"/>
  <c r="K16" i="9"/>
  <c r="K15" i="9"/>
  <c r="H104" i="1"/>
  <c r="K104" i="1"/>
  <c r="F32" i="2"/>
  <c r="H32" i="2" s="1"/>
  <c r="G17" i="8"/>
  <c r="I22" i="8"/>
  <c r="H22" i="8"/>
  <c r="H12" i="8"/>
  <c r="I12" i="8" s="1"/>
  <c r="L12" i="8" s="1"/>
  <c r="H11" i="8"/>
  <c r="I11" i="8" s="1"/>
  <c r="L11" i="8" s="1"/>
  <c r="H10" i="8"/>
  <c r="I10" i="8" s="1"/>
  <c r="L10" i="8" s="1"/>
  <c r="H7" i="8"/>
  <c r="I7" i="8" s="1"/>
  <c r="H8" i="8"/>
  <c r="I8" i="8" s="1"/>
  <c r="H9" i="8"/>
  <c r="H6" i="8"/>
  <c r="I6" i="8" s="1"/>
  <c r="L6" i="8" s="1"/>
  <c r="T103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I9" i="8" l="1"/>
  <c r="L9" i="8" s="1"/>
  <c r="L8" i="8"/>
  <c r="L7" i="8"/>
  <c r="K94" i="1"/>
  <c r="H94" i="1"/>
  <c r="F48" i="2" l="1"/>
  <c r="K93" i="1" l="1"/>
  <c r="H93" i="1"/>
  <c r="K92" i="1" l="1"/>
  <c r="H92" i="1"/>
  <c r="H59" i="2" l="1"/>
  <c r="K91" i="1" l="1"/>
  <c r="H91" i="1"/>
  <c r="K63" i="1" l="1"/>
  <c r="H90" i="1" l="1"/>
  <c r="K90" i="1"/>
  <c r="K89" i="1" l="1"/>
  <c r="H89" i="1"/>
  <c r="K88" i="1" l="1"/>
  <c r="H88" i="1"/>
  <c r="K87" i="1" l="1"/>
  <c r="H87" i="1"/>
  <c r="D38" i="2" l="1"/>
  <c r="D40" i="2"/>
  <c r="C40" i="2"/>
  <c r="C38" i="2"/>
  <c r="B40" i="2"/>
  <c r="B38" i="2"/>
  <c r="K86" i="1"/>
  <c r="H86" i="1"/>
  <c r="K85" i="1" l="1"/>
  <c r="H85" i="1"/>
  <c r="T84" i="1" l="1"/>
  <c r="K84" i="1"/>
  <c r="H84" i="1"/>
  <c r="T83" i="1" l="1"/>
  <c r="C32" i="2"/>
  <c r="C34" i="2"/>
  <c r="K83" i="1"/>
  <c r="H83" i="1"/>
  <c r="K29" i="1" l="1"/>
  <c r="H29" i="1"/>
  <c r="H81" i="1" l="1"/>
  <c r="K81" i="1"/>
  <c r="F43" i="2" l="1"/>
  <c r="H43" i="2" s="1"/>
  <c r="F44" i="2" l="1"/>
  <c r="F45" i="2" s="1"/>
  <c r="K78" i="1"/>
  <c r="H77" i="1" l="1"/>
  <c r="K77" i="1"/>
  <c r="S77" i="1"/>
  <c r="T77" i="1"/>
  <c r="AE76" i="1" l="1"/>
  <c r="K76" i="1"/>
  <c r="H76" i="1"/>
  <c r="AE75" i="1" l="1"/>
  <c r="K75" i="1" l="1"/>
  <c r="H75" i="1"/>
  <c r="K74" i="1" l="1"/>
  <c r="H74" i="1"/>
  <c r="K72" i="1" l="1"/>
  <c r="K71" i="1" l="1"/>
  <c r="H71" i="1"/>
  <c r="U20" i="2" l="1"/>
  <c r="K70" i="1"/>
  <c r="H70" i="1"/>
  <c r="K69" i="1" l="1"/>
  <c r="H69" i="1"/>
  <c r="H60" i="1" l="1"/>
  <c r="K60" i="1"/>
  <c r="R66" i="1" l="1"/>
  <c r="K66" i="1"/>
  <c r="H66" i="1"/>
  <c r="K68" i="1"/>
  <c r="H68" i="1"/>
  <c r="K67" i="1" l="1"/>
  <c r="H67" i="1"/>
  <c r="H6" i="1" l="1"/>
  <c r="Q27" i="2" l="1"/>
  <c r="T19" i="1"/>
  <c r="R64" i="1" l="1"/>
  <c r="U64" i="1"/>
  <c r="T64" i="1"/>
  <c r="S64" i="1"/>
  <c r="K64" i="1"/>
  <c r="Q14" i="2"/>
  <c r="H64" i="1"/>
  <c r="R65" i="1" l="1"/>
  <c r="F15" i="2"/>
  <c r="H11" i="2" l="1"/>
  <c r="M16" i="2" s="1"/>
  <c r="H65" i="1"/>
  <c r="K65" i="1"/>
  <c r="N20" i="2" l="1"/>
  <c r="H63" i="1"/>
  <c r="K62" i="1" l="1"/>
  <c r="H62" i="1"/>
  <c r="AR31" i="1" l="1"/>
  <c r="K31" i="1" l="1"/>
  <c r="H31" i="1"/>
  <c r="K30" i="1" l="1"/>
  <c r="H30" i="1"/>
  <c r="K28" i="1" l="1"/>
  <c r="H28" i="1"/>
  <c r="K27" i="1" l="1"/>
  <c r="H23" i="1"/>
  <c r="H27" i="1"/>
  <c r="K23" i="1" l="1"/>
  <c r="K26" i="1" l="1"/>
  <c r="M26" i="1"/>
  <c r="K25" i="1"/>
  <c r="H26" i="1"/>
  <c r="H25" i="1" l="1"/>
  <c r="AR8" i="1" l="1"/>
  <c r="AR18" i="1"/>
  <c r="AR19" i="1"/>
  <c r="H24" i="1" l="1"/>
  <c r="K24" i="1"/>
  <c r="K8" i="1" l="1"/>
  <c r="K9" i="1"/>
  <c r="K10" i="1"/>
  <c r="K11" i="1"/>
  <c r="K12" i="1"/>
  <c r="K13" i="1"/>
  <c r="K14" i="1"/>
  <c r="K15" i="1"/>
  <c r="K16" i="1"/>
  <c r="K17" i="1"/>
  <c r="K18" i="1"/>
  <c r="K19" i="1"/>
  <c r="K21" i="1"/>
  <c r="K22" i="1"/>
  <c r="K20" i="1"/>
  <c r="H22" i="1" l="1"/>
  <c r="H21" i="1" l="1"/>
  <c r="H19" i="1"/>
  <c r="H18" i="1" l="1"/>
  <c r="H12" i="1" l="1"/>
  <c r="H13" i="1"/>
  <c r="H14" i="1"/>
  <c r="H15" i="1"/>
  <c r="H16" i="1"/>
  <c r="H17" i="1"/>
  <c r="H7" i="1"/>
  <c r="H8" i="1"/>
  <c r="H9" i="1"/>
  <c r="H10" i="1"/>
  <c r="H11" i="1"/>
  <c r="F33" i="2" l="1"/>
  <c r="H33" i="2" s="1"/>
  <c r="F36" i="2"/>
  <c r="F37" i="2" l="1"/>
  <c r="J13" i="2"/>
  <c r="L13" i="2" s="1"/>
  <c r="AA12" i="1"/>
  <c r="AF12" i="1"/>
  <c r="J1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 Goodall</author>
  </authors>
  <commentList>
    <comment ref="AA1" authorId="0" shapeId="0" xr:uid="{DF6BFBC3-4D86-49E7-B024-2F50362E67F3}">
      <text>
        <r>
          <rPr>
            <b/>
            <sz val="9"/>
            <color indexed="81"/>
            <rFont val="Tahoma"/>
            <family val="2"/>
          </rPr>
          <t>Jim Goodall:</t>
        </r>
        <r>
          <rPr>
            <sz val="9"/>
            <color indexed="81"/>
            <rFont val="Tahoma"/>
            <family val="2"/>
          </rPr>
          <t xml:space="preserve">
Give 1 standard deviation error, when known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 Goodall</author>
  </authors>
  <commentList>
    <comment ref="AB1" authorId="0" shapeId="0" xr:uid="{A26E3636-1770-41BD-8ED3-E7409393FC3F}">
      <text>
        <r>
          <rPr>
            <b/>
            <sz val="9"/>
            <color indexed="81"/>
            <rFont val="Tahoma"/>
            <family val="2"/>
          </rPr>
          <t>Jim Goodall:</t>
        </r>
        <r>
          <rPr>
            <sz val="9"/>
            <color indexed="81"/>
            <rFont val="Tahoma"/>
            <family val="2"/>
          </rPr>
          <t xml:space="preserve">
Give 1 standard deviation error, when known
</t>
        </r>
      </text>
    </comment>
  </commentList>
</comments>
</file>

<file path=xl/sharedStrings.xml><?xml version="1.0" encoding="utf-8"?>
<sst xmlns="http://schemas.openxmlformats.org/spreadsheetml/2006/main" count="5380" uniqueCount="2223">
  <si>
    <t>UTC Date and Time</t>
  </si>
  <si>
    <t>Local Date and Time</t>
  </si>
  <si>
    <t>Hamburg</t>
  </si>
  <si>
    <t>Country</t>
  </si>
  <si>
    <t>USA</t>
  </si>
  <si>
    <t>Michigan</t>
  </si>
  <si>
    <t>State or Province</t>
  </si>
  <si>
    <t>Nearest Town</t>
  </si>
  <si>
    <t>Entry Speed</t>
  </si>
  <si>
    <t>mm/dd/yyyy hh:mm:ss AM/ PM</t>
  </si>
  <si>
    <t>m/s</t>
  </si>
  <si>
    <t>Entry Mass</t>
  </si>
  <si>
    <t>kg</t>
  </si>
  <si>
    <t>degrees</t>
  </si>
  <si>
    <t>Incidence Angle from Vertical</t>
  </si>
  <si>
    <t>Bearing</t>
  </si>
  <si>
    <t>Reference Latitude</t>
  </si>
  <si>
    <t>Reference Longitude</t>
  </si>
  <si>
    <t>meters above sea level</t>
  </si>
  <si>
    <t>Reference Point Description</t>
  </si>
  <si>
    <t>(heading) degrees</t>
  </si>
  <si>
    <t>Entry Speed Error</t>
  </si>
  <si>
    <t>Bearing Error</t>
  </si>
  <si>
    <t>Incidence Angle Error</t>
  </si>
  <si>
    <t>Reference Latitude Error</t>
  </si>
  <si>
    <t>Reference Longitude Error</t>
  </si>
  <si>
    <t>± degrees</t>
  </si>
  <si>
    <t>± m/s</t>
  </si>
  <si>
    <t>± meters</t>
  </si>
  <si>
    <t>to strewn field</t>
  </si>
  <si>
    <t>Simulation Name</t>
  </si>
  <si>
    <t>SimulationName</t>
  </si>
  <si>
    <t>NearestTown</t>
  </si>
  <si>
    <t>State</t>
  </si>
  <si>
    <t>ImportUTC</t>
  </si>
  <si>
    <t>ImportLocalTime</t>
  </si>
  <si>
    <t>ReferenceDescription</t>
  </si>
  <si>
    <t>nom_lat</t>
  </si>
  <si>
    <t>nom_long</t>
  </si>
  <si>
    <t>nom_angle</t>
  </si>
  <si>
    <t>nom_bearing</t>
  </si>
  <si>
    <t>nom_speed</t>
  </si>
  <si>
    <t>nom_mass</t>
  </si>
  <si>
    <t>error_speed</t>
  </si>
  <si>
    <t>error_bearing</t>
  </si>
  <si>
    <t>error_angle</t>
  </si>
  <si>
    <t>error_lat</t>
  </si>
  <si>
    <t>error_long</t>
  </si>
  <si>
    <t>error_elevation</t>
  </si>
  <si>
    <t>text</t>
  </si>
  <si>
    <t>num</t>
  </si>
  <si>
    <t>Dark Flight Elevation</t>
  </si>
  <si>
    <t>darkflight_elevation</t>
  </si>
  <si>
    <t>Index</t>
  </si>
  <si>
    <t>simindex</t>
  </si>
  <si>
    <t>Virginia</t>
  </si>
  <si>
    <t>Indiana</t>
  </si>
  <si>
    <t>South Bend</t>
  </si>
  <si>
    <t>Pennsylvania</t>
  </si>
  <si>
    <t>Lebanon</t>
  </si>
  <si>
    <t>Park Forest</t>
  </si>
  <si>
    <t>Illinois</t>
  </si>
  <si>
    <t>Papua New Guinea</t>
  </si>
  <si>
    <t>China</t>
  </si>
  <si>
    <t>Minqin</t>
  </si>
  <si>
    <t>CNEOS</t>
  </si>
  <si>
    <t>Gansu</t>
  </si>
  <si>
    <t>Area 51</t>
  </si>
  <si>
    <t>Rachel</t>
  </si>
  <si>
    <t>Nevada</t>
  </si>
  <si>
    <t>Rio Grande do Sul</t>
  </si>
  <si>
    <t>Brazil</t>
  </si>
  <si>
    <t>BRAMON</t>
  </si>
  <si>
    <t>Start Altitude</t>
  </si>
  <si>
    <t>startaltitude</t>
  </si>
  <si>
    <t>Start Frag. Altitude</t>
  </si>
  <si>
    <t>fragaltitude</t>
  </si>
  <si>
    <t>Meteoroid Type</t>
  </si>
  <si>
    <t>material</t>
  </si>
  <si>
    <t>H chondrite</t>
  </si>
  <si>
    <t>material_sim</t>
  </si>
  <si>
    <t>stony</t>
  </si>
  <si>
    <t>Geometric Elevation</t>
  </si>
  <si>
    <t>geometric_elevation</t>
  </si>
  <si>
    <t>ref_elevation</t>
  </si>
  <si>
    <t>x</t>
  </si>
  <si>
    <t>z</t>
  </si>
  <si>
    <t>incidence angle</t>
  </si>
  <si>
    <t>Alt 2</t>
  </si>
  <si>
    <t>Alt 1</t>
  </si>
  <si>
    <t>Santa Maria</t>
  </si>
  <si>
    <t>Mason Dixon</t>
  </si>
  <si>
    <t>Harristown</t>
  </si>
  <si>
    <t>Mass</t>
  </si>
  <si>
    <t>Entry Speed, m/s</t>
  </si>
  <si>
    <t>Nominal mass, kg</t>
  </si>
  <si>
    <t>Min Mass, kg</t>
  </si>
  <si>
    <t>Max Mass, kg</t>
  </si>
  <si>
    <t>Alice Springs</t>
  </si>
  <si>
    <t>Northern Territory</t>
  </si>
  <si>
    <t>Australia</t>
  </si>
  <si>
    <t>Ontario</t>
  </si>
  <si>
    <t>Bancroft</t>
  </si>
  <si>
    <t>Canada</t>
  </si>
  <si>
    <t>ASGARD</t>
  </si>
  <si>
    <t>mm/dd/yyyy hh:mm:ss.sss</t>
  </si>
  <si>
    <t>Time Zone Offset</t>
  </si>
  <si>
    <t>timezone</t>
  </si>
  <si>
    <t>Sutters Mill</t>
  </si>
  <si>
    <t>California</t>
  </si>
  <si>
    <t>Pilot Hill</t>
  </si>
  <si>
    <t>carbonaceous</t>
  </si>
  <si>
    <t>Chelyabinsk</t>
  </si>
  <si>
    <t>Russia</t>
  </si>
  <si>
    <t>Chelyabinsk Oblast</t>
  </si>
  <si>
    <t>L chondrite</t>
  </si>
  <si>
    <t>New Haven</t>
  </si>
  <si>
    <t>Connecticut</t>
  </si>
  <si>
    <t>Edmonton</t>
  </si>
  <si>
    <t>Alberta</t>
  </si>
  <si>
    <t>Strewn Field Find Area</t>
  </si>
  <si>
    <t>Number of Finds</t>
  </si>
  <si>
    <t>count</t>
  </si>
  <si>
    <t>Total Mass Found</t>
  </si>
  <si>
    <t>Main Mass</t>
  </si>
  <si>
    <t>g</t>
  </si>
  <si>
    <t>Average Mass Found</t>
  </si>
  <si>
    <t>Median Mass Found</t>
  </si>
  <si>
    <t>find_avgmass_g</t>
  </si>
  <si>
    <t>find_medianmass_g</t>
  </si>
  <si>
    <t>find_mainmass_g</t>
  </si>
  <si>
    <t>find_count</t>
  </si>
  <si>
    <t>find_strewnarea</t>
  </si>
  <si>
    <t>find_masstotal_kg</t>
  </si>
  <si>
    <t>Find Density</t>
  </si>
  <si>
    <t>find_density</t>
  </si>
  <si>
    <t>km^2</t>
  </si>
  <si>
    <t>count/km^2</t>
  </si>
  <si>
    <t>Chelyabinsk CNEOS</t>
  </si>
  <si>
    <t>Total Energy</t>
  </si>
  <si>
    <t>nom_energy</t>
  </si>
  <si>
    <t>kt</t>
  </si>
  <si>
    <t>Germany</t>
  </si>
  <si>
    <t>Wester-Ohrstedt</t>
  </si>
  <si>
    <t>random</t>
  </si>
  <si>
    <t>Flensburg</t>
  </si>
  <si>
    <t>East Germany</t>
  </si>
  <si>
    <t>Warnkenhagen</t>
  </si>
  <si>
    <t>AMS</t>
  </si>
  <si>
    <t>Laage</t>
  </si>
  <si>
    <t>Interstellar GA</t>
  </si>
  <si>
    <t>Eastanollee</t>
  </si>
  <si>
    <t>GA</t>
  </si>
  <si>
    <t>Lima</t>
  </si>
  <si>
    <t>Ohio</t>
  </si>
  <si>
    <t>End</t>
  </si>
  <si>
    <t>Tiebeicun</t>
  </si>
  <si>
    <t>Jilin</t>
  </si>
  <si>
    <t>Min Wind Sigma</t>
  </si>
  <si>
    <t>Max Wind Sigma</t>
  </si>
  <si>
    <t>σ</t>
  </si>
  <si>
    <t>weather_minsigma</t>
  </si>
  <si>
    <t>weather_maxsigma</t>
  </si>
  <si>
    <t>St Louis</t>
  </si>
  <si>
    <t>Missouri</t>
  </si>
  <si>
    <t>All log entries should have been preceded by an archive, saved to Meteor/Archive/</t>
  </si>
  <si>
    <t>Date</t>
  </si>
  <si>
    <t>Change Description</t>
  </si>
  <si>
    <t>Flensburg meteorite found, trajectory error minimized</t>
  </si>
  <si>
    <t>Jim Goodall</t>
  </si>
  <si>
    <t>Editor</t>
  </si>
  <si>
    <t>kg/m^3</t>
  </si>
  <si>
    <t>Density (unknown = 0)</t>
  </si>
  <si>
    <t>Flensburg strewn field adjusted 1.7km NW to better match find data</t>
  </si>
  <si>
    <t>Ryan Ogliore measured the energy at 1x10^10 joules (0.0024 kt), based on a ground-based camera view</t>
  </si>
  <si>
    <t>Logansport</t>
  </si>
  <si>
    <t>Updates for the new fireball near South Bend, Indiana</t>
  </si>
  <si>
    <t>Tagish Lake</t>
  </si>
  <si>
    <t>Density</t>
  </si>
  <si>
    <t>Diameter</t>
  </si>
  <si>
    <t>Volume</t>
  </si>
  <si>
    <t>m^3</t>
  </si>
  <si>
    <t>m</t>
  </si>
  <si>
    <t>Yukon Territory</t>
  </si>
  <si>
    <t>First peak</t>
  </si>
  <si>
    <t>Carcross</t>
  </si>
  <si>
    <t>Benesov</t>
  </si>
  <si>
    <t>Bunburra Rockhole</t>
  </si>
  <si>
    <t>Carancas</t>
  </si>
  <si>
    <t>Galim</t>
  </si>
  <si>
    <t>Grimsby</t>
  </si>
  <si>
    <t>Holbrook</t>
  </si>
  <si>
    <t>Kaidun</t>
  </si>
  <si>
    <t>Kapoeta</t>
  </si>
  <si>
    <t>Neuschwanstein</t>
  </si>
  <si>
    <t>Orgueil</t>
  </si>
  <si>
    <t>Pribram</t>
  </si>
  <si>
    <t>Sainte Marguerite</t>
  </si>
  <si>
    <t>Semarkona</t>
  </si>
  <si>
    <t>Sikhote-Alin</t>
  </si>
  <si>
    <t>Total Energy Source</t>
  </si>
  <si>
    <t>General Source</t>
  </si>
  <si>
    <t>Density Source</t>
  </si>
  <si>
    <t>source_density</t>
  </si>
  <si>
    <t>Trajectory Source 1</t>
  </si>
  <si>
    <t>source_trajectory_1</t>
  </si>
  <si>
    <t>Trajectory Source 2</t>
  </si>
  <si>
    <t>Trajectory Source 3</t>
  </si>
  <si>
    <t>source_trajectory_2</t>
  </si>
  <si>
    <t>source_trajectory_3</t>
  </si>
  <si>
    <t>Trajectory Source 4</t>
  </si>
  <si>
    <t>source_trajectory_4</t>
  </si>
  <si>
    <t>Classification</t>
  </si>
  <si>
    <t>material_class</t>
  </si>
  <si>
    <t>classification</t>
  </si>
  <si>
    <t>H4</t>
  </si>
  <si>
    <t>CM2</t>
  </si>
  <si>
    <t>C2</t>
  </si>
  <si>
    <t>Source</t>
  </si>
  <si>
    <t>American Meteor Society Website</t>
  </si>
  <si>
    <t>NASA All-Sky Fireball Network Report. cYYYY. Huntsville, (AL): Meteoroid Environment Office, NASA Marshall Space Flight Center; [accessed YYY MMM DD].  HTML Link</t>
  </si>
  <si>
    <t>CNEOS: Center for Near Earth Object Studies. cYYYY. St Paul (MN): Jet Propulsion Laboratory, California Institute of Technology;
[accessed YYYY MMM DD]. HTML Link</t>
  </si>
  <si>
    <t>Granvik and Brown- Identification of meteorite source regions in the Solar System</t>
  </si>
  <si>
    <t>Goodall, J., YYYY. StrewnLAB Meteor Bulletin.  Self-Published Paper.  Strewnify.com, Hartland, MI, USA.  HTML Link</t>
  </si>
  <si>
    <t>Added</t>
  </si>
  <si>
    <t>Lost City</t>
  </si>
  <si>
    <t>Innisfree</t>
  </si>
  <si>
    <t>Peekskill</t>
  </si>
  <si>
    <t>Moravka</t>
  </si>
  <si>
    <t>Villalbeto de la Pena</t>
  </si>
  <si>
    <t>Almahata Sitta</t>
  </si>
  <si>
    <t>Buzzard Coulee</t>
  </si>
  <si>
    <t>Kosice</t>
  </si>
  <si>
    <t>Mason Gully</t>
  </si>
  <si>
    <t>Krizevci</t>
  </si>
  <si>
    <t>Novato</t>
  </si>
  <si>
    <t>Annama</t>
  </si>
  <si>
    <t>Zdar nad Sazavou</t>
  </si>
  <si>
    <t>Ejby</t>
  </si>
  <si>
    <t>H5</t>
  </si>
  <si>
    <t>L5/LL5</t>
  </si>
  <si>
    <t>H5/LL3.5</t>
  </si>
  <si>
    <t>H6</t>
  </si>
  <si>
    <t>EL6</t>
  </si>
  <si>
    <t>L5</t>
  </si>
  <si>
    <t>L6</t>
  </si>
  <si>
    <t>Euc-Anom</t>
  </si>
  <si>
    <t>Ure-Anom</t>
  </si>
  <si>
    <t>LL5</t>
  </si>
  <si>
    <t>L3/L3.9</t>
  </si>
  <si>
    <t>H5/H6</t>
  </si>
  <si>
    <t>CRE age</t>
  </si>
  <si>
    <t>Myr</t>
  </si>
  <si>
    <t>source_general</t>
  </si>
  <si>
    <t>source_energy</t>
  </si>
  <si>
    <t>Classification Source</t>
  </si>
  <si>
    <t>source_class</t>
  </si>
  <si>
    <t>CRE Age Source</t>
  </si>
  <si>
    <t>source_CRE_age</t>
  </si>
  <si>
    <t/>
  </si>
  <si>
    <t>Baxter, M., Funkhouser, J., 1971. Lost City Meteorite Rare Gases in the Lost City and and Suchy Dul Meteorites. Journal of Geophysical Research 76.</t>
  </si>
  <si>
    <t>Binzel, R.P., Reddy, V., Dunn, T., 2015. The Near-Earth Object Population: Connections to Comets, Main-Belt Asteroids, and Meteorites, in: Michel, P., DeMeo, F.E., Bottke, W.F. (Eds.), Asteroids IV. University of Arizona Press. June 2015, pp. 243–256.</t>
  </si>
  <si>
    <t>Bischoff, A., Jersek, M., Grau, T., Mirtic, B., Ott, U., Kučera, J., Horstmann, M., Laubenstein, M., Herrmann, S., Řanda, Z., Weber, M., Heusser, G., 2011. Jesenice-A new meteorite fall from Slovenia. Meteoritics &amp; Planetary Science 46, 793–804.</t>
  </si>
  <si>
    <t>Bland, P., Spurný, P., Towner, M.C., Bevan, A., Singleton, A.T., Bottke, W., Greenwood, R.C., Chesley, S., Shrbeny, L., Borovička, J., Ceplecha, Z., McClafferty, T.P., Vaughan, D., Benedix, G., Deacon, G., Howard, K.T., Franchi, I.A., Hough, R.M., 2009. An anomalous basaltic meteorite from the innermost main belt. Science 325, 1525–1527.</t>
  </si>
  <si>
    <t>Borovička, J., 2007. Properties of meteoroids from different classes of parent bodies, in: Milani, A., Valsecchi, G., Vokrouhlický, D. (Eds.), Proceedings of IAU Symposium 236: Near Earth Objects, our celestial Neighbors: Opportunity and Risk, Cambridge University Press, Cambridge, U.K.. p. 107.</t>
  </si>
  <si>
    <t>Borovička, J., Kalenda, P., 2003. The Morávka meteorite fall : 4 .Meteoroid dynamics and fragmentation in the atmosphere. Meteorit. Planet. Sci. 38, 1023–1043.</t>
  </si>
  <si>
    <t>Borovička, J., Popova, O., Nemtchinov, I., Spurný, P., Ceplecha, Z., 1998. Bolides produced by impacts of large meteoroids into the Earth ’ s atmosphere : comparison of theory with observations I. Benesov bolide dynamics and fragmentation. Astronomy &amp; Astrophysics 334, 713–728.</t>
  </si>
  <si>
    <t>Borovička, J., Spurný, P., Brown, P., 2015a. Small Near-Earth Asteroids as a Source of Meteorites, in: Asteroids IV. 4th ed.. University of Arizona Press, pp. 257–280.</t>
  </si>
  <si>
    <t>Borovička, J., Spurný, P., Brown, P.G., Wiegert, P., Kalenda, P., Clark, D., Shrbený, L., 2013a. The trajectory, structure and origin of the Chelyabinsk asteroidal impactor. Nature 503, 235–237.</t>
  </si>
  <si>
    <t>Borovička, J., Spurný, P., Kalenda, P., Tagliaferri, E., 2003. The Morávka meteorite fall : 1 . Description of the events and determination of the fireball trajectory and orbit from video records. Meteorit. Planet. Sci. 38, 975–987.</t>
  </si>
  <si>
    <t>Borovička, J., Spurný, P., Šegon, D., Andreić, Ž., Kac, J., Korlević, K., Atanackov, J., Kladnik, G., Mucke, H., Vida, D., Novoselnik, F., 2015b. The instrumentally recorded fall of the Križevci meteorite, Croatia, February 4, 2011. Meteoritics &amp; Planetary Science 50, 1244–1259.</t>
  </si>
  <si>
    <t>Borovička, J., Tóth, J., Igaz, A., 2013b. The Košice meteorite fall: Atmospheric trajectory, fragmentation, and orbit. Meteoritics &amp; Planetary Science 48, 1757–1779.</t>
  </si>
  <si>
    <t>Bottke, W.F., Morbidelli, A., Jedicke, R., Petit, J.M., Levison, H.F., Michel, P., Metcalfe, T.S., 2002. Debiased Orbital and Absolute Magnitude Distribution of the Near-Earth Objects. Icarus 156, 399–433.</t>
  </si>
  <si>
    <t>Britt, D.T., Consolmagno, G.J., 2003. Stony meteorite porosities and densities: A review of the data through 2001. Meteoritics &amp; Planetary Science 38, 1161–1180.</t>
  </si>
  <si>
    <t>Brown, P., Wiegert, P., Clark, D., Tagliaferri, E., 2016. Orbital and physical characteristics of meter-scale impactors from airburst observations. Icarus 266, 96–111.</t>
  </si>
  <si>
    <t>Brown, P.G., Assink, J.D., Astiz, L., Blaauw, R., Boslough, M.B., Borovička, J., Brachet, N., Brown, D., Campbell-Brown, M., Ceranna, L., Cooke, W., de Groot-Hedlin, C., Drob, D.P., Edwards, W., Evers, L.G., Garces, M., Gill, J., Hedlin, M., Kingery, A., Laske, G., Le Pichon, A., Mialle, P., Moser, D.E., Saffer, A., Silber, E., Smets, P., Spalding, R.E., Spurný, P., Tagliaferri, E., Uren, D., Weryk, R.J., Whitaker, R., Krzeminski, Z., 2013. A 500-kiloton airburst over Chelyabinsk and an enhanced hazard from small impactors. Nature 503, 238–241.</t>
  </si>
  <si>
    <t>Brown, P.G., Ceplecha, Z., Hawkes, R., Wetherill, G., Beech, M., Mossman, K., 1994. The orbit and atmospheric trajectory of the Peekskill meteorite from video records. Nature 367, 624–626.</t>
  </si>
  <si>
    <t>Brown, P.G., McCausland, P., Fries, M., Silber, E., Edwards, W.N., Wong, D.K., Weryk, R., Fries, J., Krzeminski, Z., 2011. The fall of the Grimsby meteorite-I: Fireball dynamics and orbit from radar, video, and infrasound records. Meteoritics &amp; Planetary Science 363, 339–363.</t>
  </si>
  <si>
    <t>Brown, P.G., Pack, D., Edwards, W.N., Revelle, D., Yoo, B.B., Spalding, R.E., Tagliaferri, E., 2004. The orbit , atmospheric dynamics , and initial mass of the Park Forest meteorite. Meteorit. Planet. Sci. 39, 1781–1796.</t>
  </si>
  <si>
    <t>Brown, P.G., ReVelle, D., Hildebrand, A., 2001. The Tagish Lake meteorite fall: interpretation of fireball physical characteristics, in: Warmbein, B. (Ed.), Proceedings of the Meteoroids 2001 Conference, European Space Agency, Noordwijk, The Netherlands. pp. 497–505.</t>
  </si>
  <si>
    <t>Brown, P.G., Revelle, D., Tagliaferri, E., Hildebrand, A., 2002. An entry model for the Tagish Lake fireball using seismic, satellite and infrasound records. Meteorit. Planet. Sci. 37, 661–676.</t>
  </si>
  <si>
    <t>Cartwright, J., Hermann, S., McCausland, P., Brown, P.G., Ott, U., 2010. Noble gas analysis of the Grimsby H chondrite, in: 73rd Meeting of the Meteoritical Society, New York. p. A30.</t>
  </si>
  <si>
    <t>Ceplecha, Z., 1961. Multiple fall of Pribram meteorites photographed. 1. Double-station photographs of the fireball and their relations to the found meteorites. Bulletin of the Astronomical Institutes of Czechoslovakia 12, 21–47.</t>
  </si>
  <si>
    <t>Ceplecha, Z., 1977. Fireballs photographed in central Europe. Astronomical Institutes of Czechoslovakia, Bulletin 28, 328–340.</t>
  </si>
  <si>
    <t>Ceplecha, Z., 1987. Geometric, dynamic, orbital and photometric data on meteoroids from photographic fireball networks. Astronomical Institutes of Czechoslovakia, Bulletin 38, 222–234.</t>
  </si>
  <si>
    <t>Ceplecha, Z., 1996. Luminous efficiency based on photographic observations of the Lost City fireball and implications for the influx of interplanetary bodies onto Earth. Astronomy and Astrophysics 311, 329–332.</t>
  </si>
  <si>
    <t>Ceplecha, Z., Brown, P.G., Hawkes, R., Wetherill, G., Beech, M., Mossman, K., 1996. Video observations, atmospheric path, orbit and fragmentation record of the fall of the Peekskill meteorite. Earth, Moon and Planets 72, 395–404.</t>
  </si>
  <si>
    <t>Ceplecha, Z., ReVelle, D., 2005. Fragmentation model of meteoroid motion, mass loss, and radiation in the atmosphere. Meteoritics And Planetary Science 40, 35–54.</t>
  </si>
  <si>
    <t>Clark, D., Wiegert, P., 2011. A numerical comparison with the Ceplecha analytical meteoroid orbit determination method. Meteoritics &amp; Planetary Science 46, 1217–1225.</t>
  </si>
  <si>
    <t>Colas, F., 2016. Official launching of FRIPON. eMeteorNews 1, 67–68.</t>
  </si>
  <si>
    <t>de León, J., Pinilla-Alonso, N., Campins, H., Licandro, J., Marzo, G.A., 2012. Near-infrared spectroscopic survey of B-type asteroids: Compositional analysis. Icarus 218, 196–206.</t>
  </si>
  <si>
    <t>DeMeo, F.E., Carry, B., 2014. Solar System evolution from compositional mapping of the asteroid belt. Nature 505, 629–634.</t>
  </si>
  <si>
    <t>Dmitriev, V., Lupovka, V., Gritsevich, M., 2015. Orbit determination based on meteor observations using numerical integration of equations of motion. PSS 117, 223–235.</t>
  </si>
  <si>
    <t>Dunn, T.L., Burbine, T.H., Bottke, W.F., Clark, J.P., 2013. Mineralogies and source regions of near-Earth asteroids. Icarus 222, 273–282.</t>
  </si>
  <si>
    <t>Dyl, K.A., Benedix, G.K., Bland, P.A., Friedrich, J.M., Spurný,</t>
  </si>
  <si>
    <t>P., Towner, M.C., O’Keefe, M.C., Howard, K., Greenwood,</t>
  </si>
  <si>
    <t>R., Macke, R.J., Britt, D.T., Halfpenny, A., Thostenson, J.O.,</t>
  </si>
  <si>
    <t>Rudolph, R.A., Rivers, M.L., Bevan, A.W., 2016. Characterization of Mason Gully (H5): The second recovered fall from the</t>
  </si>
  <si>
    <t>Desert Fireball Network. Meteoritics and Planetary Science 51, 596–613.</t>
  </si>
  <si>
    <t>Flynn, G.J., Consolmagno, G.J., Brown, P., Macke, R.J., 2017. Physical properties of the stone meteorites: Implications for the properties of their parent bodies. Chemie der Erde - Geochemistry, in press.</t>
  </si>
  <si>
    <t>Fry, C., Melanson, D., Samson, C., Mccausland, P.J.A., Herd, R.K., Ernst, R.E., Umoh, J., Holdsworth, D.W., 2013. Physical characterization of a suite of Buzzard Coulee H4 chondrite fragments. Meteoritics and Planetary Science 48, 1060–1073.</t>
  </si>
  <si>
    <t>Gaffey, M.J., Gilbert, S., 1998. Asteroid 6 Hebe: The probable parent body of the H-type ordinary chondrites and the IIE iron meteorites. Meteoritics &amp; Planetary Science 1295, 1281–1295.</t>
  </si>
  <si>
    <t>Gayon-Markt, J., Delbo, M., Morbidelli, A., Marchi, S., 2012. On the origin of the Almahata Sitta meteorite and 2008 TC3 asteroid. MNRAS 424, 508–518.</t>
  </si>
  <si>
    <t>Goswami, J., Lal, D., Rao, M., Sinha, N., Venkatesan, T., 1978. Particle track and rare gas studies of Innisfree meteorite, in: (Meteoritical Society, Annual Meeting, 41st, Sudbury, Ontario, Canada, Aug. 14-17, 1978.) Meteoritics.</t>
  </si>
  <si>
    <t>Graf, T., Marti, K., Xue, S., Herzog, G.F., Klein, J., Middleton, R., Metzler, K., Herd, R., Brown, P., Wacker, J., Milton, B., Milton, J., 1997. Exposure history of the Peekskill (H6) meteorite. Meteoritics 32, 25–30.</t>
  </si>
  <si>
    <t>Granvik, M., Morbidelli, A., Jedicke, R., Bolin, B., Bottke, W.F., Beshore, E., Vokrouhlický, D., Delbò, M., Michel, P., 2016. Supercatastrophic disruption of asteroids at small perihelion distances. Nature 530, 303–306.</t>
  </si>
  <si>
    <t>Granvik, M., Morbidelli, A., Jedicke, R., Bolin, B., Bottke, W.F., Beshore, E., Vokrouhlický, D., Nesvorný, D., Michel, P., 2018. Debiased orbit and absolute-magnitude distributions for near-Earth objects. Accepted for publication in Icarus.</t>
  </si>
  <si>
    <t>Haak, H.W., Grau, T., Bischoff, A., Horstmann, M., Wasson, J., Sørensen, A., Laubenstein, M., Ott, U., Palme, H., Gellissen, M., Greenwood, R.C., Pearson, V.K., Franchi, I.a., Gabelica, Z., Schmitt-Kopplin, P., 2012. Maribo — A new CM fall from Denmark. Meteoritics &amp; Planetary Science 47, 30–50.</t>
  </si>
  <si>
    <t>Haak, H.W., Michelsen, R., Stober, G., Keuer, D., Singer, W., 2010. The Maribo CM2 fall: radar based orbit determination of an unusually fast fireball, in: 73rd Meeting of the Meteoritical Society, p. 5085.</t>
  </si>
  <si>
    <t>Haak, H.W., Michelsen, R., Stober, G., Keuer, D., Singer, W., Williams, I.P., Unit, A., Mary, Q., Encke, C., 2011. CM Chondrites from Comets? - NEw Constraints from the orbit of the Maribo CM Chondrite Fall, in: Formation of the First Solids in the Solar System.</t>
  </si>
  <si>
    <t>Halliday, I., Blackwell, A., Griffin, A., 1978. The Innisfree meteorite and the Canadian camera network. Royal Astronomical Society of Canada, Journal 72, 15–39.</t>
  </si>
  <si>
    <t>Halliday, I., Griffin, A., Blackwell, A., 1981. The Innisfree meteorite fall- A photographic analysis of fragmentation, dynamics and luminosity. Meteoritics 16, 153–170.</t>
  </si>
  <si>
    <t>Halliday, I., Griffin, A., Blackwell, A., 1996. Detailed data for 259 fireballs from the Canadian camera network and inferences concerning the influx of large meteoroids. Meteoritics and Planetary Science 31, 185–217.</t>
  </si>
  <si>
    <t>Herzog, G., Caffee, M., 2014. 1.13 - Cosmic-Ray Exposure Ages of Meteorites. second edition ed.. Elsevier, Oxford. pp. 419 – 454.</t>
  </si>
  <si>
    <t>Horstmann, M., Bischoff, A., 2014. The Almahata Sitta polymict breccia and the late accretion of asteroid 2008 TC3. Chemie der Erde - Geochemistry 74, 149–183.</t>
  </si>
  <si>
    <t>Howie, R.M., Paxman, J., Bland, P.A., Towner, M.C., Cupak, M., Sansom, E.K., Devillepoix, H.A.R., 2017. How to build a continental scale fireball camera network. Experimental Astronomy 43, 237–266.</t>
  </si>
  <si>
    <t>Hutson, M., Ruzicka, A., Milley, E.P., Hildebrand, A., 2009. A first look at the petrography of the Buzzard Coulee (H4) chondrite, A recently observed fall from Saskatchewan, in: Lunar and Planetary Science Conference (2009), p. 1893.</t>
  </si>
  <si>
    <t>Jenniskens, P., Fries, M.D., Yin, Q.Z., Zolensky, M., Krot, a.N., Sandford, S.a., Sears, D., Beauford, R., Ebel, D.S., Friedrich, J.M., Nagashima, K., Wimpenny, J., Yamakawa, a., Nishiizumi, K., Hamajima, Y., Caffee, M.W., Welten, K.C., Laubenstein, M., Davis, a.M., Simon, S.B., Heck, P.R., Young, E.D., Kohl, I.E., Thiemens, M.H., Nunn, M.H., Mikouchi, T., Hagiya, K., Ohsumi, K., Cahill, T.a., Lawton, J.a., Barnes, D., Steele, a., Rochette, P., Verosub, K.L., Gattacceca, J., Cooper, G., Glavin, D.P., Burton, a.S., Dworkin, J.P., Elsila, J.E., Pizzarello, S., Ogliore, R., Schmitt-Kopplin, P., Harir, M., Hertkorn, N., Verchovsky, a., Grady, M., Nagao, K., Okazaki, R., Takechi, H., Hiroi, T., Smith, K., Silber, E., Brown, P.G., Albers, J., Klotz, D., Hankey, M., Matson, R., Fries, J.a., Walker, R.J., Puchtel, I., Lee, C.T.a., Erdman, M.E., Eppich, G.R., Roeske, S., Gabelica, Z., Lerche, M., Nuevo, M., Girten, B., Worden, S.P., 2012. Radar-Enabled Recovery of the Sutter’s Mill Meteorite, a Carbonaceous Chondrite Regolith Breccia. Science 338, 1583–1587.</t>
  </si>
  <si>
    <t>Jenniskens, P., Rubin, A.E., Yin, Q.Z., Sears, D.W.G., Sandford, S.a., Zolensky, M.E., Krot, A.N., Blair, L., Kane, D., Utas, J., Verish, R., Friedrich, J.M., Wimpenny, J., Eppich, G.R., Ziegler, K., Verosub, K.L., Rowland, D.J., Albers, J., Gural, P., Grigsby, B., Fries, M.D., Matson, R., Johnston, M., Silber, E., Brown, P.G., Yamakawa, A., Sanborn, M.E., Laubenstein, M., Welten, K.C., Nishiizumi, K., Meier, M.M.M., Busemann, H., Clay, P., Caffee, M.W., Schmitt-Kopplin, P., Hertkorn, N., Glavin, D.P., Callahan, M.P., Dworkin, J.P., Wu, Q., Zare, R.N., Grady, M., Verchovsky, S., Emel’Yanenko, V., Naroenkov, S., Clark, D., Girten, B., Worden, P.S., 2014. Fall, recovery, and characterization of the Novato L6 chondrite breccia. Meteoritics &amp; Planetary Science 49, 1388–1425.</t>
  </si>
  <si>
    <t>Kallemeyn, W., Rubin, A.E., Wang, D., Wasson, J.T., 1989. Ordinary chondrites: Bulk compositions, classification, lithophileelement fractionations, and composition-petrographic type relationships. Geochimica et Cosmochimica Acta 53, 2747–2767.</t>
  </si>
  <si>
    <t>Keuer D, S.W., G, S., 2009. Signatures of the ionization trail of a fireball observed in the HF, and VHF range above middle-Europe on January 17, 2009, in: MST12 conference, London, Ontario, May 17-23, 2009.</t>
  </si>
  <si>
    <t>Kohout, T., Donadini, F., Pesonen, L.J., Uehara, M., 2010. Rock magnetic studies of the Neuschwanstein EL6 chondrite - implications on the origin of its natural remanent magnetization. Geophysica 46, 3–19.</t>
  </si>
  <si>
    <t>Kohout, T., Gritsevich, M., Grokhovsky, V.I., Yakovlev, G.A., Haloda, J., Halodova, P., Michallik, R.M., Penttilä, A., Muinonen, K., 2014a. Mineralogy, reflectance spectra, and physical properties of the Chelyabinsk LL5 chondrite - Insight into shock-induced changes in asteroid regoliths. Icarus 228, 78–85.</t>
  </si>
  <si>
    <t>Kohout, T., Havrila, K., Tóth, J., Husárik, M., Gritsevich, M., Britt, D., Borovička, J., Spurný, P., Igaz, A., Svoreň, J., Kornoš, L., Vereš, P., Koza, J., Zigo, P., Gajdoš, Š., Világi, J., Čapek, D., Krišandová, Z., Tomko, D., Šilha, J., Schunová, E., Bodnárová, M., Búzová, D., Krejčová, T., 2014b. Density, porosity and magnetic susceptibility of the Košice meteorite shower and homogeneity of its parent meteoroid. Planetary and Space Science 93-94, 96–100.</t>
  </si>
  <si>
    <t>Kohout, T., Kiuru, R., Montonen, M., Scheirich, P., Britt, D.T., Macke, R., Consolmagno, G.J., 2011. Internal structure and physical properties of the Asteroid 2008 TC3 inferred from a study of the Almahata Sitta meteorites. Icarus 212, 697–700.</t>
  </si>
  <si>
    <t>Kohout, T., Meier, M.M.M., Maden, C., Busemann, H., Welten, K.C., Laubenstein, M., Caffee, M.W., Gritsevich, M., Grokhovsky, V., 2016. Pre-Entry Size and Cosmic History of the Annama Meteorite, in: 79th Annual Meeting of the Meteoritical Society, p. 6316.</t>
  </si>
  <si>
    <t>Lyon, I., Andreic, Z., Segon, D., Korlevic, K., 2014. The Križevci H6 Chondrite and the Origin of H Chondrites, in: 77th Annual Meeting of the Meteoritical Society, p. 5418.</t>
  </si>
  <si>
    <t>Macke, R., 2010. Survey of meteorite physical properties: density, porosity and magnetic susceptibility. Ph.D. thesis. University of Central Florida.</t>
  </si>
  <si>
    <t>McCausland, P., Brown, P., Hildebrand, A., Flemming, R., Barker, I., Moser, D., Renaud, J., Edwards, W.N., 2010. Fall of the Grimsby H5 Chondrite, in: Lunar and Planetary Science Conference (2010).</t>
  </si>
  <si>
    <t>McCrosky, R., Posen, A., Schwartz, G., Shao, C.Y., 1971. Lost City Meteorites its Recovery and a Comparison with Other Fireballs. Journal of Geophysical Research 76, 4090–4108.</t>
  </si>
  <si>
    <t>Meier, M.M.M., Welten, K.C., Riebe, M.E.I., Caffee, M.W., Gritsevich, M., Maden, C., Busemann, H., 2017. Park Forest (L5) and the asteroidal source of shocked L chondrites. Meteoritics &amp; Planetary Science 16.</t>
  </si>
  <si>
    <t>Milley, E.P., 2010. Physical Properties of fireball-producing earthimpacting meteoroids and orbit determination through shadow calibration of the Buzzard Coulee meteorite fall. Ph.D. thesis. University of Calgary.</t>
  </si>
  <si>
    <t>Milley, E.P., Hildebrand, A., Brown, P.G., Noble, M., Sarty, G., Ling, A., Mailler, L., 2010. Pre-fall Orbit of the Buzzard Coulee Meteoroid, in: Geocanada 2010 - Working with the Earth, p. 4.</t>
  </si>
  <si>
    <t>Morbidelli, A., Gladman, B., 1998. Orbital and temporal distributions of meteorites originating in the asteroid belt. Meteoritics and Planetary Science 33, 999–1016.</t>
  </si>
  <si>
    <t>Nava, D., Walter, L.S., Doan, A., 1971. Chemistry and Mineralogy of the Lost City Meteorite. Journal of Geophysical Research 76, 4067–4071.</t>
  </si>
  <si>
    <t>Nesvorný, D., Vokrouhlický, D., Morbidelli, A., Bottke, W., 2009. Asteroidal source of L chondrite meteorites. Icarus 200, 698–701.</t>
  </si>
  <si>
    <t>Nishiizumi, K., Caffee, M.W., Hamajima, Y., Reedy, R.C., Welten, K.C., 2014. Exposure history of the Sutter’s Mill carbonaceous chondrite. Meteoritics &amp; Planetary Science 49, 2056–2063.</t>
  </si>
  <si>
    <t>Novaković, B., Tsirvoulis, G., Granvik, M., Todović, A., 2017. A Dark Asteroid Family in the Phocaea Region. Astronomical Journal 153, 266.</t>
  </si>
  <si>
    <t>Ozdín, D., Plavčan, J., Horňáčková, M., Uher, P., Porubčan, V., Veis, P., Rakovský, J., Tóth, J., Konečný, P., Svoreň, J., 2015.</t>
  </si>
  <si>
    <t>Mineralogy, petrography, geochemistry, and classification of the Košice meteorite. Meteoritics &amp; Planetary Science 50, 864–879.</t>
  </si>
  <si>
    <t>Pauls, A., Gladman, B., 2005. Decoherence Time Scales for Meteoroid Streams. Meteoritics and Planetary Science 40, 1241–1256.</t>
  </si>
  <si>
    <t>Popova, O.P., Jenniskens, P., Emel’yanenko, V., Kartashova, A., Biryukov, E., Khaibrakhmanov, S., Shuvalov, V., Rybnov, Y., Dudorov, A., Grokhovsky, V.I., Badyukov, D.D., Yin, Q.Z., Gural, P.S., Albers, J., Granvik, M., Evers, L.G., Kuiper, J., Kharlamov, V., Solovyov, A., Rusakov, Y.S., Korotkiy, S., Serdyuk, I., Korochantsev, A.V., Larionov, M.Y., Glazachev, D., Mayer, A.E., Gisler, G., Gladkovsky, S.V., Wimpenny, J., Sanborn, M.E., Yamakawa, A., Verosub, K.L., Rowland, D.J., Roeske, S., Botto, N.W., Friedrich, J.M., Zolensky, M.E., Le, L., Ross, D., Ziegler, K., Nakamura, T., Ahn, I., Lee, J.I., Zhou, Q., Li, X.H., Li, Q.L., Liu, Y., Tang, G.Q., Hiroi, T., Sears, D., Weinstein, I.A., Vokhmintsev, A.S., Ishchenko, A.V., Schmitt-Kopplin, P., Hertkorn, N., Nagao, K., Haba, M.K., Komatsu, M., Mikouchi, T., t..C.j..S.y...m..n.v...p...a..h.a..P., . Povinec, P.P., Masarik, J., Sýkora, I., Kováčik, A., Beňo, J., Meier, M.M., Wieler, R., Laubenstein, M., Porubčan, V., 2015. Cosmogenic nuclides in the Košice meteorite: Experimental investigations and Monte Carlo simulations. Meteoritics and Planetary Science 50, 880–892.</t>
  </si>
  <si>
    <t>Pravec, P., Harris, A.W., Kušnirák, P., Galád, A., Hornoch, K., 2012. Absolute magnitudes of asteroids and a revision of asteroid albedo estimates from WISE thermal observations. Icarus 221, 365–387.</t>
  </si>
  <si>
    <t>Righter, K., Abell, P., Agresti, D., Berger, E.L., Burton, A.S., Delaney, J.S., Fries, M.D., Gibson, E.K., Haba, M.K., Harrington, R., Herzog, G.F., Keller, L.P., Locke, D., Lindsay, F.N., McCoy, T.J., Morris, R.V., Nagao, K., Nakamura-Messenger, K., Niles, P.B., Nyquist, L.E., Park, J., Peng, Z.X., Shih, C.Y., Simon, J.I., Swisher, C.C., Tappa, M.J., Turrin, B.D., Zeigler, R.A., 2015. Mineralogy, petrology, chronology, and exposure history of the Chelyabinsk meteorite and parent body. Meteoritics and Planetary Science 50, 1790–1819.</t>
  </si>
  <si>
    <t>Rivkin, A.S., 2012. The fraction of hydrated C-complex asteroids in the asteroid belt from SDSS data. Icarus 221, 744–752.</t>
  </si>
  <si>
    <t>Rubin, A.E., 1990. Kamacite and olivine in ordinary chondrites - Intergroup and intragroup relationships. Geochimica et Cosmochimica Acta 54, 1217–1232.</t>
  </si>
  <si>
    <t>Schunová, E., Granvik, M., Jedicke, R., Gronchi, G., Wainscoat, R., Abe, S., 2012. Searching for the first near-Earth object family. Icarus 220, 1050–1063.</t>
  </si>
  <si>
    <t>Simon, S., Grossman, L., Clayton, R.N., Mayeda, T., Schwade, J., Sipiera, P., Wacker, J., Wadhwa, M., 2004. The fall, recovery, and classification of the Park Forest meteorite. Meteoritics &amp; Planetary Science 39, 625–634.</t>
  </si>
  <si>
    <t>Smith, D.G.W., 1980. The mineral chemistry of the innisfree meteorite. The Canadian Mineralogist 18, 433–442.</t>
  </si>
  <si>
    <t>Spurný, P., 1994. Recent fireballs photographed in central Europe. Planetary and Space Science 42, 157–162.</t>
  </si>
  <si>
    <t>Spurný, P., 2015. Instrumentally documented meteorite falls: two recent cases and statistics from all falls. Proceedings of the International Astronomical Union 10, 69–79.</t>
  </si>
  <si>
    <t>Spurný, P., Bland, P., Borovička, J., Towner, M., Shrbený, L., Bevan, A., Vaughan, D., 2012b. The Mason Gully meteorite fall in SW Australia: Fireball Trajectory, Luminosity, Dynamics, Orbit and Impact Position from photographic records, in: Asteroids Comets Meteors 2012, p. 6369.</t>
  </si>
  <si>
    <t>Spurný, P., Bland, P., Shrbený, L., Borovička, J., Ceplecha, Z., Singelton, A., Bevan, A.W.R., Vaughan, D., Towner, M.C., McClafferty, T.P., Toumi, R., Deacon, G., 2012a. The Bunburra Rockhole meteorite fall in SW Australia: fireball trajectory, luminosity, dynamics, orbit, and impact position from photographic and photoelectric records. Meteoritics &amp; Planetary Science 47, 163–185.</t>
  </si>
  <si>
    <t>Spurný, P., Borovička, J., Baumgarten, G., Haack, H., Heinlein, D., Sørensen, A., 2016a. Atmospheric trajectory and heliocentric orbit of the Ejby meteorite fall in Denmark on February 6, 2016. Planetary and Space Science.</t>
  </si>
  <si>
    <t>Spurny, P., Borovicka, J., Haack, H., Singer, W., Keuer, D., Jobse, K., 2013. Trajectory and Orbit of the Maribo CM2 Meteorite from optical, photoelectric and radar records, in: Meteoroids 2013.</t>
  </si>
  <si>
    <t>Spurný, P., Borovička, J., Haloda, J., Shrbený, L., Heinlein, D., 2016b. Two very precisely instrumentally documented meteorite falls: Zdar nad Sazavou and Stubenberg - Prediction and Reality, in: 79th Meteoritical Society Meeting, p. 6221.</t>
  </si>
  <si>
    <t>Spurný, P., Borovička, J., Kac, J., Kalenda, P., Atanackov, J., Kladnik, G., Heinlein, D., Grau, T., 2010. Analysis of instrumental observations of the Jesenice meteorite fall on April 9, 2009. Meteoritics &amp; Planetary Science 45, 1392–1407.</t>
  </si>
  <si>
    <t>Spurný, P., Borovička, J., Shrbený, L., 2007. Automation of the Czech part of the European fireball network: equipment, methods and first results. Proceedings of the International Astronomical Union 2, 121–131.</t>
  </si>
  <si>
    <t>Spurný, P., Haloda, J., Borovička, J., Shrbený, L., Halodová, P., 2014. Reanalysis of the Benešov bolide and recovery of polymict breccia meteorites — old mystery solved after 20 years. Astronomy &amp; Astrophysics 570, A39.</t>
  </si>
  <si>
    <t>Spurný, P., Heinlein, D., Oberst, J., 2002. The atmospheric trajectory and heliocentric orbit of the Neuschwanstein meteorite fall on April 6, 2002, in: Asteroids, Comets, and Meteors: ACM 2002, pp. 137–140.</t>
  </si>
  <si>
    <t>Spurný, P., Oberst, J., Heinlein, D., 2003. Photographic observations of Neuschwanstein , a second meteorite from the orbit of the Pribram chondrite. Nature 423, 151–3.</t>
  </si>
  <si>
    <t>Stauffer, H., Urey, H., 1962. Multiple fall of Priibram meteorites photographed. III. Rare gas isotopes in the Velká stone meteorite. Bulletin of the Astronomical Institutes of Czechoslovakia 13, 106.</t>
  </si>
  <si>
    <t>Tancredi, G., 2014. A criterion to classify asteroids and comets based on the orbital parameters. Icarus 234, 66–80.</t>
  </si>
  <si>
    <t>Trigo-Rodriguez, J., Borovička, J., Spurný, P., Ortiz, J.L., Docobo, J.A., Castro-Tirado, A.J., Llorca, J., 2006. The Villalbeto de la Peña meteorite fall: II. Determination of atmospheric trajectory and orbit. Meteorit. Planet. Sci. 41, 505–517.</t>
  </si>
  <si>
    <t>Trigo-Rodríguez, J.M., Lyytinen, E., Gritsevich, M., Moreno-Ibáñez, M., Bottke, W.F., Williams, I., Lupovka, V., Dmitriev, V., Kohout, T., Grokhovsky, V., 2015. Orbit and dynamic origin of the recently recovered Annama’s H5 chondrite. MNRAS 449, 2119 - 2127.</t>
  </si>
  <si>
    <t>Tucek, K., 1961. Multiple fall of pribram meteorites photographed 2. Morphological and mineralogical composition of the meteoritic stones of pribram. Bulletin of the Astronomical Institutes of .</t>
  </si>
  <si>
    <t>Vernazza, P., Binzel, R.P., Thomas, C.A., DeMeo, F.E., Bus, S.J., Rivkin, A.S., Tokunaga, A.T., 2008. Compositional differences between meteorites and near-Earth asteroids. Nature 454, 858 - 860.</t>
  </si>
  <si>
    <t>Vernazza, P., Marsset, M., Beck, P., Binzel, R.P., Birlan, M., Cloutis, E.A., DeMeo, F.E., Dumas, C., Hiroi, T., 2016. Compositional Homogeneity of CM Parent Bodies. AJ 152, 54.</t>
  </si>
  <si>
    <t>Vokrouhlický, D., Farinella, P., 2000. Efficient delivery of meteorites to the Earth from a wide range of asteroid parent bodies. Nature 407, 606–8.</t>
  </si>
  <si>
    <t>Welten, K.C., Meier, M.M.M., Caffee, M.W., Laubenstein, M., Nishiizumi, K., Wieler, R., Bland, P., Towner, M.C., Spurný, P., 2012. Cosmic-ray exposure age and preatmospheric size of the Bunburra Rockhole achondrite. Meteoritics &amp; Planetary Science 47, 186 - 196.</t>
  </si>
  <si>
    <t>Welten, K.C., Meier, M.M.M., Caffee, M.W., Nishiizumi, K., Wieler, R., Jenniskens, P., Shaddad, M.H., 2010. Cosmogenic nuclides in Almahata Sitta ureilites: Cosmic-ray exposure age, preatmospheric mass, and bulk density of asteroid 2008 TC3. Meteoritics &amp; Planetary Science 45, 1728–1742.</t>
  </si>
  <si>
    <t>Wetherill, G., 1985. Asteroidal source of ordinary chondrites. Meteoritics 20, 1–22. Wetherill, G., ReVelle, D., 1982. Relationships between comets, large meteors, and meteorites. Comets, University of Arizona Press, Tucson, AZ, USA , 297–319.</t>
  </si>
  <si>
    <t>Wisdom, J., 2017. Meteorite transport - Revisited. Meteoritics &amp; Planetary Science 52, 1660–1668.</t>
  </si>
  <si>
    <t>Wlotzka, F., 1993. The Meteoritical Bulletin, No 75, 1993 December. Meteoritics 28, 692–703.</t>
  </si>
  <si>
    <t>Zipfel, J., Bischoff, A., Schultz, L., Spettel, B., Dreibus, G., Schönbeck, T., Palme, H., 2010. Mineralogy, chemistry, and irradiation record of Neuschwanstein (EL6) chondrite. Meteoritics and Planetary Science 45, 1488 - 1501.</t>
  </si>
  <si>
    <t>Zolensky, M., Mikouchi, T., Fries, M., Bodnar, R., Jenniskens, P., Yin, Q.z., Hagiya, K., Ohsumi, K., Komatsu, M., Colbert, M., Hanna, R., Maisano, J., Ketcham, R., Kebukawa, Y., Nakamura, T., Matsuoka, M., Sasaki, S., Tsuchiyama, A., Gounelle, M., Le, L., Martinez, J., Ross, K., Rahman, Z., 2014. Mineralogy and petrography of C asteroid regolith: The Sutter’s Mill CM meteorite. Meteoritics &amp; Planetary Science 49, 1997-2016.</t>
  </si>
  <si>
    <t>Hildebrand, A.R., McCausland, P.J.A., Brown, P.G., Longstaffe, F.J., Russell, S.D.J., Tagliaferri, E., Wacker, J.F., Mazur, M.J., Causland, P.J.A.M.C., 2006. The fall and recovery of the Tagish Lake meteorite. Meteorit. Planet. Sci. 41, 407–431.</t>
  </si>
  <si>
    <t>Jenniskens, P., Shaddad, M.H., Numan, D., Elsir, S., Kudoda, A.M., Zolensky, M.E., Le, L., Robinson, G.A., Friedrich, J.M., Rumble, D., Steele, A., Chesley, S.R., Fitzsimmons, A., Duddy, S., Hsieh, H.H., Ramsay, G., Brown, P.G., Edwards, W.N., Tagliaferri, E., Boslough, M.B., Spalding, R.E., Dantowitz, R., Kozubal, M., Pravec, P., Borovicka, J., Charvat, Z., Vaubaillon, J., Kuiper, J., Albers, J., Bishop, J.L., Mancinelli, R.L., Sandford, S.A., Milam, S.N., Nuevo, M., Worden, S.P., 2009. The impact and recovery of asteroid 2008 TC3. Nature 458, 485–488.</t>
  </si>
  <si>
    <t>Llorca, J., Guez, J.M.T.r., Ortiz, J.L., Docobo, J.A., Garcia-Guinea, J., Castro-Tirado, A.J., Rubin, A.E., Eugster, O., Edwards, W.N., Laubenstein, M., Casanova, I., 2005. The Villalbeto de la Peña meteorite fall : I . Fireball energy , meteorite recovery , strewn field , and petrography. Meteoritics Planet. Sci. 40, 795–804.</t>
  </si>
  <si>
    <t>Added new events from Gravik and Brown paper, added a source tab</t>
  </si>
  <si>
    <t>Sharon</t>
  </si>
  <si>
    <t>Alice Springs updated with CNEOS error, preparing to re-run</t>
  </si>
  <si>
    <t>unknown</t>
  </si>
  <si>
    <t>Abu Minqar</t>
  </si>
  <si>
    <t>Egypt</t>
  </si>
  <si>
    <t>New Valley</t>
  </si>
  <si>
    <t>Reference Speed</t>
  </si>
  <si>
    <t>ref_speed</t>
  </si>
  <si>
    <t>Reference Slope</t>
  </si>
  <si>
    <t>ref_slope</t>
  </si>
  <si>
    <t>Saricicek</t>
  </si>
  <si>
    <t>Turkey</t>
  </si>
  <si>
    <t>howardite</t>
  </si>
  <si>
    <t>Bingöl</t>
  </si>
  <si>
    <t>Poland</t>
  </si>
  <si>
    <t>Glogow</t>
  </si>
  <si>
    <t>Lower Silesia</t>
  </si>
  <si>
    <t>Aguas Zarcas</t>
  </si>
  <si>
    <t>Alajuela</t>
  </si>
  <si>
    <t>Costa Rica</t>
  </si>
  <si>
    <t>Status</t>
  </si>
  <si>
    <t>Free</t>
  </si>
  <si>
    <t xml:space="preserve">The Meteoritical Bulletin, No. 108. (2019) Meteoritical and Planetary Science. </t>
  </si>
  <si>
    <t>minutes</t>
  </si>
  <si>
    <t>decimal degrees</t>
  </si>
  <si>
    <t>Reference Altitude</t>
  </si>
  <si>
    <t>Reference Altitude Error</t>
  </si>
  <si>
    <t>Karmaka Meteorites, http://karmaka.de/</t>
  </si>
  <si>
    <t>seconds</t>
  </si>
  <si>
    <t>Alpha-2 code</t>
  </si>
  <si>
    <t>Alpha-3 code</t>
  </si>
  <si>
    <t>Numeric</t>
  </si>
  <si>
    <t>Afghanistan</t>
  </si>
  <si>
    <t>AF</t>
  </si>
  <si>
    <t>AFG</t>
  </si>
  <si>
    <t>Albania</t>
  </si>
  <si>
    <t>AL</t>
  </si>
  <si>
    <t>ALB</t>
  </si>
  <si>
    <t>Algeria</t>
  </si>
  <si>
    <t>DZ</t>
  </si>
  <si>
    <t>DZA</t>
  </si>
  <si>
    <t>American Samoa</t>
  </si>
  <si>
    <t>AS</t>
  </si>
  <si>
    <t>ASM</t>
  </si>
  <si>
    <t>Andorra</t>
  </si>
  <si>
    <t>AD</t>
  </si>
  <si>
    <t>AND</t>
  </si>
  <si>
    <t>Angola</t>
  </si>
  <si>
    <t>AO</t>
  </si>
  <si>
    <t>AGO</t>
  </si>
  <si>
    <t>Anguilla</t>
  </si>
  <si>
    <t>AI</t>
  </si>
  <si>
    <t>AIA</t>
  </si>
  <si>
    <t>Antarctica</t>
  </si>
  <si>
    <t>AQ</t>
  </si>
  <si>
    <t>ATA</t>
  </si>
  <si>
    <t>Antigua and Barbuda</t>
  </si>
  <si>
    <t>AG</t>
  </si>
  <si>
    <t>ATG</t>
  </si>
  <si>
    <t>Argentina</t>
  </si>
  <si>
    <t>AR</t>
  </si>
  <si>
    <t>ARG</t>
  </si>
  <si>
    <t>Armenia</t>
  </si>
  <si>
    <t>AM</t>
  </si>
  <si>
    <t>ARM</t>
  </si>
  <si>
    <t>Aruba</t>
  </si>
  <si>
    <t>AW</t>
  </si>
  <si>
    <t>ABW</t>
  </si>
  <si>
    <t>AU</t>
  </si>
  <si>
    <t>AUS</t>
  </si>
  <si>
    <t>Austria</t>
  </si>
  <si>
    <t>AT</t>
  </si>
  <si>
    <t>AUT</t>
  </si>
  <si>
    <t>Azerbaijan</t>
  </si>
  <si>
    <t>AZ</t>
  </si>
  <si>
    <t>AZE</t>
  </si>
  <si>
    <t>Bahamas (the)</t>
  </si>
  <si>
    <t>BS</t>
  </si>
  <si>
    <t>BHS</t>
  </si>
  <si>
    <t>Bahrain</t>
  </si>
  <si>
    <t>BH</t>
  </si>
  <si>
    <t>BHR</t>
  </si>
  <si>
    <t>Bangladesh</t>
  </si>
  <si>
    <t>BD</t>
  </si>
  <si>
    <t>BGD</t>
  </si>
  <si>
    <t>Barbados</t>
  </si>
  <si>
    <t>BB</t>
  </si>
  <si>
    <t>BRB</t>
  </si>
  <si>
    <t>Belarus</t>
  </si>
  <si>
    <t>BY</t>
  </si>
  <si>
    <t>BLR</t>
  </si>
  <si>
    <t>Belgium</t>
  </si>
  <si>
    <t>BE</t>
  </si>
  <si>
    <t>BEL</t>
  </si>
  <si>
    <t>Belize</t>
  </si>
  <si>
    <t>BZ</t>
  </si>
  <si>
    <t>BLZ</t>
  </si>
  <si>
    <t>Benin</t>
  </si>
  <si>
    <t>BJ</t>
  </si>
  <si>
    <t>BEN</t>
  </si>
  <si>
    <t>Bermuda</t>
  </si>
  <si>
    <t>BM</t>
  </si>
  <si>
    <t>BMU</t>
  </si>
  <si>
    <t>Bhutan</t>
  </si>
  <si>
    <t>BT</t>
  </si>
  <si>
    <t>BTN</t>
  </si>
  <si>
    <t>Bolivia (Plurinational State of)</t>
  </si>
  <si>
    <t>BO</t>
  </si>
  <si>
    <t>BOL</t>
  </si>
  <si>
    <t>Bonaire, Sint Eustatius and Saba</t>
  </si>
  <si>
    <t>BQ</t>
  </si>
  <si>
    <t>BES</t>
  </si>
  <si>
    <t>Bosnia and Herzegovina</t>
  </si>
  <si>
    <t>BA</t>
  </si>
  <si>
    <t>BIH</t>
  </si>
  <si>
    <t>Botswana</t>
  </si>
  <si>
    <t>BW</t>
  </si>
  <si>
    <t>BWA</t>
  </si>
  <si>
    <t>Bouvet Island</t>
  </si>
  <si>
    <t>BV</t>
  </si>
  <si>
    <t>BVT</t>
  </si>
  <si>
    <t>BR</t>
  </si>
  <si>
    <t>BRA</t>
  </si>
  <si>
    <t>British Indian Ocean Territory (the)</t>
  </si>
  <si>
    <t>IO</t>
  </si>
  <si>
    <t>IOT</t>
  </si>
  <si>
    <t>Brunei Darussalam</t>
  </si>
  <si>
    <t>BN</t>
  </si>
  <si>
    <t>BRN</t>
  </si>
  <si>
    <t>Bulgaria</t>
  </si>
  <si>
    <t>BG</t>
  </si>
  <si>
    <t>BGR</t>
  </si>
  <si>
    <t>Burkina Faso</t>
  </si>
  <si>
    <t>BF</t>
  </si>
  <si>
    <t>BFA</t>
  </si>
  <si>
    <t>Burundi</t>
  </si>
  <si>
    <t>BI</t>
  </si>
  <si>
    <t>BDI</t>
  </si>
  <si>
    <t>Cabo Verde</t>
  </si>
  <si>
    <t>CV</t>
  </si>
  <si>
    <t>CPV</t>
  </si>
  <si>
    <t>Cambodia</t>
  </si>
  <si>
    <t>KH</t>
  </si>
  <si>
    <t>KHM</t>
  </si>
  <si>
    <t>Cameroon</t>
  </si>
  <si>
    <t>CM</t>
  </si>
  <si>
    <t>CMR</t>
  </si>
  <si>
    <t>CA</t>
  </si>
  <si>
    <t>CAN</t>
  </si>
  <si>
    <t>Cayman Islands (the)</t>
  </si>
  <si>
    <t>KY</t>
  </si>
  <si>
    <t>CYM</t>
  </si>
  <si>
    <t>Central African Republic (the)</t>
  </si>
  <si>
    <t>CF</t>
  </si>
  <si>
    <t>CAF</t>
  </si>
  <si>
    <t>Chad</t>
  </si>
  <si>
    <t>TD</t>
  </si>
  <si>
    <t>TCD</t>
  </si>
  <si>
    <t>Chile</t>
  </si>
  <si>
    <t>CL</t>
  </si>
  <si>
    <t>CHL</t>
  </si>
  <si>
    <t>CN</t>
  </si>
  <si>
    <t>CHN</t>
  </si>
  <si>
    <t>Christmas Island</t>
  </si>
  <si>
    <t>CX</t>
  </si>
  <si>
    <t>CXR</t>
  </si>
  <si>
    <t>Cocos (Keeling) Islands (the)</t>
  </si>
  <si>
    <t>CC</t>
  </si>
  <si>
    <t>CCK</t>
  </si>
  <si>
    <t>Colombia</t>
  </si>
  <si>
    <t>CO</t>
  </si>
  <si>
    <t>COL</t>
  </si>
  <si>
    <t>Comoros (the)</t>
  </si>
  <si>
    <t>KM</t>
  </si>
  <si>
    <t>COM</t>
  </si>
  <si>
    <t>Congo (the Democratic Republic of the)</t>
  </si>
  <si>
    <t>CD</t>
  </si>
  <si>
    <t>COD</t>
  </si>
  <si>
    <t>Congo (the)</t>
  </si>
  <si>
    <t>CG</t>
  </si>
  <si>
    <t>COG</t>
  </si>
  <si>
    <t>Cook Islands (the)</t>
  </si>
  <si>
    <t>CK</t>
  </si>
  <si>
    <t>COK</t>
  </si>
  <si>
    <t>CR</t>
  </si>
  <si>
    <t>CRI</t>
  </si>
  <si>
    <t>Croatia</t>
  </si>
  <si>
    <t>HR</t>
  </si>
  <si>
    <t>HRV</t>
  </si>
  <si>
    <t>Cuba</t>
  </si>
  <si>
    <t>CU</t>
  </si>
  <si>
    <t>CUB</t>
  </si>
  <si>
    <t>Curaçao</t>
  </si>
  <si>
    <t>CW</t>
  </si>
  <si>
    <t>CUW</t>
  </si>
  <si>
    <t>Cyprus</t>
  </si>
  <si>
    <t>CY</t>
  </si>
  <si>
    <t>CYP</t>
  </si>
  <si>
    <t>Czechia</t>
  </si>
  <si>
    <t>CZ</t>
  </si>
  <si>
    <t>CZE</t>
  </si>
  <si>
    <t>Côte d'Ivoire</t>
  </si>
  <si>
    <t>CI</t>
  </si>
  <si>
    <t>CIV</t>
  </si>
  <si>
    <t>Denmark</t>
  </si>
  <si>
    <t>DK</t>
  </si>
  <si>
    <t>DNK</t>
  </si>
  <si>
    <t>Djibouti</t>
  </si>
  <si>
    <t>DJ</t>
  </si>
  <si>
    <t>DJI</t>
  </si>
  <si>
    <t>Dominica</t>
  </si>
  <si>
    <t>DM</t>
  </si>
  <si>
    <t>DMA</t>
  </si>
  <si>
    <t>Dominican Republic (the)</t>
  </si>
  <si>
    <t>DO</t>
  </si>
  <si>
    <t>DOM</t>
  </si>
  <si>
    <t>Ecuador</t>
  </si>
  <si>
    <t>EC</t>
  </si>
  <si>
    <t>ECU</t>
  </si>
  <si>
    <t>EG</t>
  </si>
  <si>
    <t>EGY</t>
  </si>
  <si>
    <t>El Salvador</t>
  </si>
  <si>
    <t>SV</t>
  </si>
  <si>
    <t>SLV</t>
  </si>
  <si>
    <t>Equatorial Guinea</t>
  </si>
  <si>
    <t>GQ</t>
  </si>
  <si>
    <t>GNQ</t>
  </si>
  <si>
    <t>Eritrea</t>
  </si>
  <si>
    <t>ER</t>
  </si>
  <si>
    <t>ERI</t>
  </si>
  <si>
    <t>Estonia</t>
  </si>
  <si>
    <t>EE</t>
  </si>
  <si>
    <t>EST</t>
  </si>
  <si>
    <t>Eswatini</t>
  </si>
  <si>
    <t>SZ</t>
  </si>
  <si>
    <t>SWZ</t>
  </si>
  <si>
    <t>Ethiopia</t>
  </si>
  <si>
    <t>ET</t>
  </si>
  <si>
    <t>ETH</t>
  </si>
  <si>
    <t>Falkland Islands (the) [Malvinas]</t>
  </si>
  <si>
    <t>FK</t>
  </si>
  <si>
    <t>FLK</t>
  </si>
  <si>
    <t>Faroe Islands (the)</t>
  </si>
  <si>
    <t>FO</t>
  </si>
  <si>
    <t>FRO</t>
  </si>
  <si>
    <t>Fiji</t>
  </si>
  <si>
    <t>FJ</t>
  </si>
  <si>
    <t>FJI</t>
  </si>
  <si>
    <t>Finland</t>
  </si>
  <si>
    <t>FI</t>
  </si>
  <si>
    <t>FIN</t>
  </si>
  <si>
    <t>France</t>
  </si>
  <si>
    <t>FR</t>
  </si>
  <si>
    <t>FRA</t>
  </si>
  <si>
    <t>French Guiana</t>
  </si>
  <si>
    <t>GF</t>
  </si>
  <si>
    <t>GUF</t>
  </si>
  <si>
    <t>French Polynesia</t>
  </si>
  <si>
    <t>PF</t>
  </si>
  <si>
    <t>PYF</t>
  </si>
  <si>
    <t>French Southern Territories (the)</t>
  </si>
  <si>
    <t>TF</t>
  </si>
  <si>
    <t>ATF</t>
  </si>
  <si>
    <t>Gabon</t>
  </si>
  <si>
    <t>GAB</t>
  </si>
  <si>
    <t>Gambia (the)</t>
  </si>
  <si>
    <t>GM</t>
  </si>
  <si>
    <t>GMB</t>
  </si>
  <si>
    <t>Georgia</t>
  </si>
  <si>
    <t>GE</t>
  </si>
  <si>
    <t>GEO</t>
  </si>
  <si>
    <t>DE</t>
  </si>
  <si>
    <t>DEU</t>
  </si>
  <si>
    <t>Ghana</t>
  </si>
  <si>
    <t>GH</t>
  </si>
  <si>
    <t>GHA</t>
  </si>
  <si>
    <t>Gibraltar</t>
  </si>
  <si>
    <t>GI</t>
  </si>
  <si>
    <t>GIB</t>
  </si>
  <si>
    <t>Greece</t>
  </si>
  <si>
    <t>GR</t>
  </si>
  <si>
    <t>GRC</t>
  </si>
  <si>
    <t>Greenland</t>
  </si>
  <si>
    <t>GL</t>
  </si>
  <si>
    <t>GRL</t>
  </si>
  <si>
    <t>Grenada</t>
  </si>
  <si>
    <t>GD</t>
  </si>
  <si>
    <t>GRD</t>
  </si>
  <si>
    <t>Guadeloupe</t>
  </si>
  <si>
    <t>GP</t>
  </si>
  <si>
    <t>GLP</t>
  </si>
  <si>
    <t>Guam</t>
  </si>
  <si>
    <t>GU</t>
  </si>
  <si>
    <t>GUM</t>
  </si>
  <si>
    <t>Guatemala</t>
  </si>
  <si>
    <t>GT</t>
  </si>
  <si>
    <t>GTM</t>
  </si>
  <si>
    <t>Guernsey</t>
  </si>
  <si>
    <t>GG</t>
  </si>
  <si>
    <t>GGY</t>
  </si>
  <si>
    <t>Guinea</t>
  </si>
  <si>
    <t>GN</t>
  </si>
  <si>
    <t>GIN</t>
  </si>
  <si>
    <t>Guinea-Bissau</t>
  </si>
  <si>
    <t>GW</t>
  </si>
  <si>
    <t>GNB</t>
  </si>
  <si>
    <t>Guyana</t>
  </si>
  <si>
    <t>GY</t>
  </si>
  <si>
    <t>GUY</t>
  </si>
  <si>
    <t>Haiti</t>
  </si>
  <si>
    <t>HT</t>
  </si>
  <si>
    <t>HTI</t>
  </si>
  <si>
    <t>Heard Island and McDonald Islands</t>
  </si>
  <si>
    <t>HM</t>
  </si>
  <si>
    <t>HMD</t>
  </si>
  <si>
    <t>Holy See (the)</t>
  </si>
  <si>
    <t>VA</t>
  </si>
  <si>
    <t>VAT</t>
  </si>
  <si>
    <t>Honduras</t>
  </si>
  <si>
    <t>HN</t>
  </si>
  <si>
    <t>HND</t>
  </si>
  <si>
    <t>Hong Kong</t>
  </si>
  <si>
    <t>HK</t>
  </si>
  <si>
    <t>HKG</t>
  </si>
  <si>
    <t>Hungary</t>
  </si>
  <si>
    <t>HU</t>
  </si>
  <si>
    <t>HUN</t>
  </si>
  <si>
    <t>Iceland</t>
  </si>
  <si>
    <t>IS</t>
  </si>
  <si>
    <t>ISL</t>
  </si>
  <si>
    <t>India</t>
  </si>
  <si>
    <t>IN</t>
  </si>
  <si>
    <t>IND</t>
  </si>
  <si>
    <t>Indonesia</t>
  </si>
  <si>
    <t>ID</t>
  </si>
  <si>
    <t>IDN</t>
  </si>
  <si>
    <t>Iran (Islamic Republic of)</t>
  </si>
  <si>
    <t>IR</t>
  </si>
  <si>
    <t>IRN</t>
  </si>
  <si>
    <t>Iraq</t>
  </si>
  <si>
    <t>IQ</t>
  </si>
  <si>
    <t>IRQ</t>
  </si>
  <si>
    <t>Ireland</t>
  </si>
  <si>
    <t>IE</t>
  </si>
  <si>
    <t>IRL</t>
  </si>
  <si>
    <t>Isle of Man</t>
  </si>
  <si>
    <t>IM</t>
  </si>
  <si>
    <t>IMN</t>
  </si>
  <si>
    <t>Israel</t>
  </si>
  <si>
    <t>IL</t>
  </si>
  <si>
    <t>ISR</t>
  </si>
  <si>
    <t>Italy</t>
  </si>
  <si>
    <t>IT</t>
  </si>
  <si>
    <t>ITA</t>
  </si>
  <si>
    <t>Jamaica</t>
  </si>
  <si>
    <t>JM</t>
  </si>
  <si>
    <t>JAM</t>
  </si>
  <si>
    <t>Japan</t>
  </si>
  <si>
    <t>JP</t>
  </si>
  <si>
    <t>JPN</t>
  </si>
  <si>
    <t>Jersey</t>
  </si>
  <si>
    <t>JE</t>
  </si>
  <si>
    <t>JEY</t>
  </si>
  <si>
    <t>Jordan</t>
  </si>
  <si>
    <t>JO</t>
  </si>
  <si>
    <t>JOR</t>
  </si>
  <si>
    <t>Kazakhstan</t>
  </si>
  <si>
    <t>KZ</t>
  </si>
  <si>
    <t>KAZ</t>
  </si>
  <si>
    <t>Kenya</t>
  </si>
  <si>
    <t>KE</t>
  </si>
  <si>
    <t>KEN</t>
  </si>
  <si>
    <t>Kiribati</t>
  </si>
  <si>
    <t>KI</t>
  </si>
  <si>
    <t>KIR</t>
  </si>
  <si>
    <t>Korea (the Democratic People's Republic of)</t>
  </si>
  <si>
    <t>KP</t>
  </si>
  <si>
    <t>PRK</t>
  </si>
  <si>
    <t>Korea (the Republic of)</t>
  </si>
  <si>
    <t>KR</t>
  </si>
  <si>
    <t>KOR</t>
  </si>
  <si>
    <t>Kuwait</t>
  </si>
  <si>
    <t>KW</t>
  </si>
  <si>
    <t>KWT</t>
  </si>
  <si>
    <t>Kyrgyzstan</t>
  </si>
  <si>
    <t>KG</t>
  </si>
  <si>
    <t>KGZ</t>
  </si>
  <si>
    <t>Lao People's Democratic Republic (the)</t>
  </si>
  <si>
    <t>LA</t>
  </si>
  <si>
    <t>LAO</t>
  </si>
  <si>
    <t>Latvia</t>
  </si>
  <si>
    <t>LV</t>
  </si>
  <si>
    <t>LVA</t>
  </si>
  <si>
    <t>LB</t>
  </si>
  <si>
    <t>LBN</t>
  </si>
  <si>
    <t>Lesotho</t>
  </si>
  <si>
    <t>LS</t>
  </si>
  <si>
    <t>LSO</t>
  </si>
  <si>
    <t>Liberia</t>
  </si>
  <si>
    <t>LR</t>
  </si>
  <si>
    <t>LBR</t>
  </si>
  <si>
    <t>Libya</t>
  </si>
  <si>
    <t>LY</t>
  </si>
  <si>
    <t>LBY</t>
  </si>
  <si>
    <t>Liechtenstein</t>
  </si>
  <si>
    <t>LI</t>
  </si>
  <si>
    <t>LIE</t>
  </si>
  <si>
    <t>Lithuania</t>
  </si>
  <si>
    <t>LT</t>
  </si>
  <si>
    <t>LTU</t>
  </si>
  <si>
    <t>Luxembourg</t>
  </si>
  <si>
    <t>LU</t>
  </si>
  <si>
    <t>LUX</t>
  </si>
  <si>
    <t>Macao</t>
  </si>
  <si>
    <t>MO</t>
  </si>
  <si>
    <t>MAC</t>
  </si>
  <si>
    <t>Madagascar</t>
  </si>
  <si>
    <t>MG</t>
  </si>
  <si>
    <t>MDG</t>
  </si>
  <si>
    <t>Malawi</t>
  </si>
  <si>
    <t>MW</t>
  </si>
  <si>
    <t>MWI</t>
  </si>
  <si>
    <t>Malaysia</t>
  </si>
  <si>
    <t>MY</t>
  </si>
  <si>
    <t>MYS</t>
  </si>
  <si>
    <t>Maldives</t>
  </si>
  <si>
    <t>MV</t>
  </si>
  <si>
    <t>MDV</t>
  </si>
  <si>
    <t>Mali</t>
  </si>
  <si>
    <t>ML</t>
  </si>
  <si>
    <t>MLI</t>
  </si>
  <si>
    <t>Malta</t>
  </si>
  <si>
    <t>MT</t>
  </si>
  <si>
    <t>MLT</t>
  </si>
  <si>
    <t>Marshall Islands (the)</t>
  </si>
  <si>
    <t>MH</t>
  </si>
  <si>
    <t>MHL</t>
  </si>
  <si>
    <t>Martinique</t>
  </si>
  <si>
    <t>MQ</t>
  </si>
  <si>
    <t>MTQ</t>
  </si>
  <si>
    <t>Mauritania</t>
  </si>
  <si>
    <t>MR</t>
  </si>
  <si>
    <t>MRT</t>
  </si>
  <si>
    <t>Mauritius</t>
  </si>
  <si>
    <t>MU</t>
  </si>
  <si>
    <t>MUS</t>
  </si>
  <si>
    <t>Mayotte</t>
  </si>
  <si>
    <t>YT</t>
  </si>
  <si>
    <t>MYT</t>
  </si>
  <si>
    <t>Mexico</t>
  </si>
  <si>
    <t>MX</t>
  </si>
  <si>
    <t>MEX</t>
  </si>
  <si>
    <t>Micronesia (Federated States of)</t>
  </si>
  <si>
    <t>FM</t>
  </si>
  <si>
    <t>FSM</t>
  </si>
  <si>
    <t>Moldova (the Republic of)</t>
  </si>
  <si>
    <t>MD</t>
  </si>
  <si>
    <t>MDA</t>
  </si>
  <si>
    <t>Monaco</t>
  </si>
  <si>
    <t>MC</t>
  </si>
  <si>
    <t>MCO</t>
  </si>
  <si>
    <t>Mongolia</t>
  </si>
  <si>
    <t>MN</t>
  </si>
  <si>
    <t>MNG</t>
  </si>
  <si>
    <t>Montenegro</t>
  </si>
  <si>
    <t>ME</t>
  </si>
  <si>
    <t>MNE</t>
  </si>
  <si>
    <t>Montserrat</t>
  </si>
  <si>
    <t>MS</t>
  </si>
  <si>
    <t>MSR</t>
  </si>
  <si>
    <t>Morocco</t>
  </si>
  <si>
    <t>MA</t>
  </si>
  <si>
    <t>MAR</t>
  </si>
  <si>
    <t>Mozambique</t>
  </si>
  <si>
    <t>MZ</t>
  </si>
  <si>
    <t>MOZ</t>
  </si>
  <si>
    <t>Myanmar</t>
  </si>
  <si>
    <t>MM</t>
  </si>
  <si>
    <t>MMR</t>
  </si>
  <si>
    <t>Namibia</t>
  </si>
  <si>
    <t>NA</t>
  </si>
  <si>
    <t>NAM</t>
  </si>
  <si>
    <t>Nauru</t>
  </si>
  <si>
    <t>NR</t>
  </si>
  <si>
    <t>NRU</t>
  </si>
  <si>
    <t>Nepal</t>
  </si>
  <si>
    <t>NP</t>
  </si>
  <si>
    <t>NPL</t>
  </si>
  <si>
    <t>Netherlands (the)</t>
  </si>
  <si>
    <t>NL</t>
  </si>
  <si>
    <t>NLD</t>
  </si>
  <si>
    <t>New Caledonia</t>
  </si>
  <si>
    <t>NC</t>
  </si>
  <si>
    <t>NCL</t>
  </si>
  <si>
    <t>New Zealand</t>
  </si>
  <si>
    <t>NZ</t>
  </si>
  <si>
    <t>NZL</t>
  </si>
  <si>
    <t>Nicaragua</t>
  </si>
  <si>
    <t>NI</t>
  </si>
  <si>
    <t>NIC</t>
  </si>
  <si>
    <t>Niger (the)</t>
  </si>
  <si>
    <t>NE</t>
  </si>
  <si>
    <t>NER</t>
  </si>
  <si>
    <t>Nigeria</t>
  </si>
  <si>
    <t>NG</t>
  </si>
  <si>
    <t>NGA</t>
  </si>
  <si>
    <t>Niue</t>
  </si>
  <si>
    <t>NU</t>
  </si>
  <si>
    <t>NIU</t>
  </si>
  <si>
    <t>Norfolk Island</t>
  </si>
  <si>
    <t>NF</t>
  </si>
  <si>
    <t>NFK</t>
  </si>
  <si>
    <t>Northern Mariana Islands (the)</t>
  </si>
  <si>
    <t>MP</t>
  </si>
  <si>
    <t>MNP</t>
  </si>
  <si>
    <t>Norway</t>
  </si>
  <si>
    <t>NO</t>
  </si>
  <si>
    <t>NOR</t>
  </si>
  <si>
    <t>Oman</t>
  </si>
  <si>
    <t>OM</t>
  </si>
  <si>
    <t>OMN</t>
  </si>
  <si>
    <t>Pakistan</t>
  </si>
  <si>
    <t>PK</t>
  </si>
  <si>
    <t>PAK</t>
  </si>
  <si>
    <t>Palau</t>
  </si>
  <si>
    <t>PW</t>
  </si>
  <si>
    <t>PLW</t>
  </si>
  <si>
    <t>Palestine, State of</t>
  </si>
  <si>
    <t>PS</t>
  </si>
  <si>
    <t>PSE</t>
  </si>
  <si>
    <t>Panama</t>
  </si>
  <si>
    <t>PA</t>
  </si>
  <si>
    <t>PAN</t>
  </si>
  <si>
    <t>PG</t>
  </si>
  <si>
    <t>PNG</t>
  </si>
  <si>
    <t>Paraguay</t>
  </si>
  <si>
    <t>PY</t>
  </si>
  <si>
    <t>PRY</t>
  </si>
  <si>
    <t>Peru</t>
  </si>
  <si>
    <t>PE</t>
  </si>
  <si>
    <t>PER</t>
  </si>
  <si>
    <t>Philippines (the)</t>
  </si>
  <si>
    <t>PH</t>
  </si>
  <si>
    <t>PHL</t>
  </si>
  <si>
    <t>Pitcairn</t>
  </si>
  <si>
    <t>PN</t>
  </si>
  <si>
    <t>PCN</t>
  </si>
  <si>
    <t>PL</t>
  </si>
  <si>
    <t>POL</t>
  </si>
  <si>
    <t>Portugal</t>
  </si>
  <si>
    <t>PT</t>
  </si>
  <si>
    <t>PRT</t>
  </si>
  <si>
    <t>Puerto Rico</t>
  </si>
  <si>
    <t>PR</t>
  </si>
  <si>
    <t>PRI</t>
  </si>
  <si>
    <t>Qatar</t>
  </si>
  <si>
    <t>QA</t>
  </si>
  <si>
    <t>QAT</t>
  </si>
  <si>
    <t>Republic of North Macedonia</t>
  </si>
  <si>
    <t>MK</t>
  </si>
  <si>
    <t>MKD</t>
  </si>
  <si>
    <t>Romania</t>
  </si>
  <si>
    <t>RO</t>
  </si>
  <si>
    <t>ROU</t>
  </si>
  <si>
    <t>Russian Federation (the)</t>
  </si>
  <si>
    <t>RU</t>
  </si>
  <si>
    <t>RUS</t>
  </si>
  <si>
    <t>Rwanda</t>
  </si>
  <si>
    <t>RW</t>
  </si>
  <si>
    <t>RWA</t>
  </si>
  <si>
    <t>Réunion</t>
  </si>
  <si>
    <t>RE</t>
  </si>
  <si>
    <t>REU</t>
  </si>
  <si>
    <t>Saint Barthélemy</t>
  </si>
  <si>
    <t>BL</t>
  </si>
  <si>
    <t>BLM</t>
  </si>
  <si>
    <t>Saint Helena, Ascension and Tristan da Cunha</t>
  </si>
  <si>
    <t>SH</t>
  </si>
  <si>
    <t>SHN</t>
  </si>
  <si>
    <t>Saint Kitts and Nevis</t>
  </si>
  <si>
    <t>KN</t>
  </si>
  <si>
    <t>KNA</t>
  </si>
  <si>
    <t>Saint Lucia</t>
  </si>
  <si>
    <t>LC</t>
  </si>
  <si>
    <t>LCA</t>
  </si>
  <si>
    <t>Saint Martin (French part)</t>
  </si>
  <si>
    <t>MF</t>
  </si>
  <si>
    <t>MAF</t>
  </si>
  <si>
    <t>Saint Pierre and Miquelon</t>
  </si>
  <si>
    <t>PM</t>
  </si>
  <si>
    <t>SPM</t>
  </si>
  <si>
    <t>Saint Vincent and the Grenadines</t>
  </si>
  <si>
    <t>VC</t>
  </si>
  <si>
    <t>VCT</t>
  </si>
  <si>
    <t>Samoa</t>
  </si>
  <si>
    <t>WS</t>
  </si>
  <si>
    <t>WSM</t>
  </si>
  <si>
    <t>San Marino</t>
  </si>
  <si>
    <t>SM</t>
  </si>
  <si>
    <t>SMR</t>
  </si>
  <si>
    <t>Sao Tome and Principe</t>
  </si>
  <si>
    <t>ST</t>
  </si>
  <si>
    <t>STP</t>
  </si>
  <si>
    <t>Saudi Arabia</t>
  </si>
  <si>
    <t>SA</t>
  </si>
  <si>
    <t>SAU</t>
  </si>
  <si>
    <t>Senegal</t>
  </si>
  <si>
    <t>SN</t>
  </si>
  <si>
    <t>SEN</t>
  </si>
  <si>
    <t>Serbia</t>
  </si>
  <si>
    <t>RS</t>
  </si>
  <si>
    <t>SRB</t>
  </si>
  <si>
    <t>Seychelles</t>
  </si>
  <si>
    <t>SC</t>
  </si>
  <si>
    <t>SYC</t>
  </si>
  <si>
    <t>Sierra Leone</t>
  </si>
  <si>
    <t>SL</t>
  </si>
  <si>
    <t>SLE</t>
  </si>
  <si>
    <t>Singapore</t>
  </si>
  <si>
    <t>SG</t>
  </si>
  <si>
    <t>SGP</t>
  </si>
  <si>
    <t>Sint Maarten (Dutch part)</t>
  </si>
  <si>
    <t>SX</t>
  </si>
  <si>
    <t>SXM</t>
  </si>
  <si>
    <t>Slovakia</t>
  </si>
  <si>
    <t>SK</t>
  </si>
  <si>
    <t>SVK</t>
  </si>
  <si>
    <t>Slovenia</t>
  </si>
  <si>
    <t>SI</t>
  </si>
  <si>
    <t>SVN</t>
  </si>
  <si>
    <t>Solomon Islands</t>
  </si>
  <si>
    <t>SB</t>
  </si>
  <si>
    <t>SLB</t>
  </si>
  <si>
    <t>Somalia</t>
  </si>
  <si>
    <t>SO</t>
  </si>
  <si>
    <t>SOM</t>
  </si>
  <si>
    <t>South Africa</t>
  </si>
  <si>
    <t>ZA</t>
  </si>
  <si>
    <t>ZAF</t>
  </si>
  <si>
    <t>South Georgia and the South Sandwich Islands</t>
  </si>
  <si>
    <t>GS</t>
  </si>
  <si>
    <t>SGS</t>
  </si>
  <si>
    <t>South Sudan</t>
  </si>
  <si>
    <t>SS</t>
  </si>
  <si>
    <t>SSD</t>
  </si>
  <si>
    <t>Spain</t>
  </si>
  <si>
    <t>ES</t>
  </si>
  <si>
    <t>ESP</t>
  </si>
  <si>
    <t>Sri Lanka</t>
  </si>
  <si>
    <t>LK</t>
  </si>
  <si>
    <t>LKA</t>
  </si>
  <si>
    <t>Sudan (the)</t>
  </si>
  <si>
    <t>SD</t>
  </si>
  <si>
    <t>SDN</t>
  </si>
  <si>
    <t>Suriname</t>
  </si>
  <si>
    <t>SR</t>
  </si>
  <si>
    <t>SUR</t>
  </si>
  <si>
    <t>Svalbard and Jan Mayen</t>
  </si>
  <si>
    <t>SJ</t>
  </si>
  <si>
    <t>SJM</t>
  </si>
  <si>
    <t>Sweden</t>
  </si>
  <si>
    <t>SE</t>
  </si>
  <si>
    <t>SWE</t>
  </si>
  <si>
    <t>Switzerland</t>
  </si>
  <si>
    <t>CH</t>
  </si>
  <si>
    <t>CHE</t>
  </si>
  <si>
    <t>Syrian Arab Republic</t>
  </si>
  <si>
    <t>SY</t>
  </si>
  <si>
    <t>SYR</t>
  </si>
  <si>
    <t>Taiwan (Province of China)</t>
  </si>
  <si>
    <t>TW</t>
  </si>
  <si>
    <t>TWN</t>
  </si>
  <si>
    <t>Tajikistan</t>
  </si>
  <si>
    <t>TJ</t>
  </si>
  <si>
    <t>TJK</t>
  </si>
  <si>
    <t>Tanzania, United Republic of</t>
  </si>
  <si>
    <t>TZ</t>
  </si>
  <si>
    <t>TZA</t>
  </si>
  <si>
    <t>Thailand</t>
  </si>
  <si>
    <t>TH</t>
  </si>
  <si>
    <t>THA</t>
  </si>
  <si>
    <t>Timor-Leste</t>
  </si>
  <si>
    <t>TL</t>
  </si>
  <si>
    <t>TLS</t>
  </si>
  <si>
    <t>Togo</t>
  </si>
  <si>
    <t>TG</t>
  </si>
  <si>
    <t>TGO</t>
  </si>
  <si>
    <t>Tokelau</t>
  </si>
  <si>
    <t>TK</t>
  </si>
  <si>
    <t>TKL</t>
  </si>
  <si>
    <t>Tonga</t>
  </si>
  <si>
    <t>TO</t>
  </si>
  <si>
    <t>TON</t>
  </si>
  <si>
    <t>Trinidad and Tobago</t>
  </si>
  <si>
    <t>TT</t>
  </si>
  <si>
    <t>TTO</t>
  </si>
  <si>
    <t>Tunisia</t>
  </si>
  <si>
    <t>TN</t>
  </si>
  <si>
    <t>TUN</t>
  </si>
  <si>
    <t>TR</t>
  </si>
  <si>
    <t>TUR</t>
  </si>
  <si>
    <t>Turkmenistan</t>
  </si>
  <si>
    <t>TM</t>
  </si>
  <si>
    <t>TKM</t>
  </si>
  <si>
    <t>Turks and Caicos Islands (the)</t>
  </si>
  <si>
    <t>TC</t>
  </si>
  <si>
    <t>TCA</t>
  </si>
  <si>
    <t>Tuvalu</t>
  </si>
  <si>
    <t>TV</t>
  </si>
  <si>
    <t>TUV</t>
  </si>
  <si>
    <t>Uganda</t>
  </si>
  <si>
    <t>UG</t>
  </si>
  <si>
    <t>UGA</t>
  </si>
  <si>
    <t>Ukraine</t>
  </si>
  <si>
    <t>UA</t>
  </si>
  <si>
    <t>UKR</t>
  </si>
  <si>
    <t>United Arab Emirates (the)</t>
  </si>
  <si>
    <t>AE</t>
  </si>
  <si>
    <t>ARE</t>
  </si>
  <si>
    <t>United Kingdom of Great Britain and Northern Ireland (the)</t>
  </si>
  <si>
    <t>GB</t>
  </si>
  <si>
    <t>GBR</t>
  </si>
  <si>
    <t>United States Minor Outlying Islands (the)</t>
  </si>
  <si>
    <t>UM</t>
  </si>
  <si>
    <t>UMI</t>
  </si>
  <si>
    <t>United States of America (the)</t>
  </si>
  <si>
    <t>US</t>
  </si>
  <si>
    <t>Uruguay</t>
  </si>
  <si>
    <t>UY</t>
  </si>
  <si>
    <t>URY</t>
  </si>
  <si>
    <t>Uzbekistan</t>
  </si>
  <si>
    <t>UZ</t>
  </si>
  <si>
    <t>UZB</t>
  </si>
  <si>
    <t>Vanuatu</t>
  </si>
  <si>
    <t>VU</t>
  </si>
  <si>
    <t>VUT</t>
  </si>
  <si>
    <t>Venezuela (Bolivarian Republic of)</t>
  </si>
  <si>
    <t>VE</t>
  </si>
  <si>
    <t>VEN</t>
  </si>
  <si>
    <t>Viet Nam</t>
  </si>
  <si>
    <t>VN</t>
  </si>
  <si>
    <t>VNM</t>
  </si>
  <si>
    <t>Virgin Islands (British)</t>
  </si>
  <si>
    <t>VG</t>
  </si>
  <si>
    <t>VGB</t>
  </si>
  <si>
    <t>Virgin Islands (U.S.)</t>
  </si>
  <si>
    <t>VI</t>
  </si>
  <si>
    <t>VIR</t>
  </si>
  <si>
    <t>Wallis and Futuna</t>
  </si>
  <si>
    <t>WF</t>
  </si>
  <si>
    <t>WLF</t>
  </si>
  <si>
    <t>Western Sahara</t>
  </si>
  <si>
    <t>EH</t>
  </si>
  <si>
    <t>ESH</t>
  </si>
  <si>
    <t>Yemen</t>
  </si>
  <si>
    <t>YE</t>
  </si>
  <si>
    <t>YEM</t>
  </si>
  <si>
    <t>Zambia</t>
  </si>
  <si>
    <t>ZM</t>
  </si>
  <si>
    <t>ZMB</t>
  </si>
  <si>
    <t>Zimbabwe</t>
  </si>
  <si>
    <t>ZW</t>
  </si>
  <si>
    <t>ZWE</t>
  </si>
  <si>
    <t>Åland Islands</t>
  </si>
  <si>
    <t>AX</t>
  </si>
  <si>
    <t>ALA</t>
  </si>
  <si>
    <t>sigma</t>
  </si>
  <si>
    <t>probability</t>
  </si>
  <si>
    <t>cube</t>
  </si>
  <si>
    <t>sphere</t>
  </si>
  <si>
    <t>source_CRE_Age</t>
  </si>
  <si>
    <t>trajectory_quality</t>
  </si>
  <si>
    <t>Trajectory Quality</t>
  </si>
  <si>
    <t>Trajectory</t>
  </si>
  <si>
    <t>no trajectory data</t>
  </si>
  <si>
    <t>AMS or other rough estimate</t>
  </si>
  <si>
    <t>fair trajectory (e.g. CNEOS)</t>
  </si>
  <si>
    <t>good trajectory (e.g. resolved from video or published)</t>
  </si>
  <si>
    <t>verified trajectory</t>
  </si>
  <si>
    <t>Adrar</t>
  </si>
  <si>
    <t>Mguiden</t>
  </si>
  <si>
    <t>Arahal</t>
  </si>
  <si>
    <t>Andalusia</t>
  </si>
  <si>
    <t>Vicente Cayuelas Mollá, vicentecayuelas@gmail.com</t>
  </si>
  <si>
    <t>Glogow Carbonaceous</t>
  </si>
  <si>
    <t>Pavel Spurný, Jiří Borovička, Lukáš Shrbený, 2015. The Žďár nad Sázavou meteorite fall: Fireball trajectory, photometry, dynamics, fragmentation, orbit, and meteorite recovery</t>
  </si>
  <si>
    <t>Vysocina</t>
  </si>
  <si>
    <t>Czech Republic</t>
  </si>
  <si>
    <t>Dharuhera</t>
  </si>
  <si>
    <t>Haryana</t>
  </si>
  <si>
    <t>Bhiwadi</t>
  </si>
  <si>
    <t>Bowdon</t>
  </si>
  <si>
    <t>frames</t>
  </si>
  <si>
    <t>fps</t>
  </si>
  <si>
    <t>s</t>
  </si>
  <si>
    <t>Fields</t>
  </si>
  <si>
    <t>GLM Bolides</t>
  </si>
  <si>
    <t>Datetime</t>
  </si>
  <si>
    <t>LAT</t>
  </si>
  <si>
    <t>LONG</t>
  </si>
  <si>
    <t>Z reference calculation</t>
  </si>
  <si>
    <t>ref altitude</t>
  </si>
  <si>
    <t>ground offset</t>
  </si>
  <si>
    <t>zenith angle</t>
  </si>
  <si>
    <t>Location</t>
  </si>
  <si>
    <t>Description</t>
  </si>
  <si>
    <t>reference point description</t>
  </si>
  <si>
    <t>Timezone</t>
  </si>
  <si>
    <t>Geometric trajectory Latitude at 40km altitude</t>
  </si>
  <si>
    <t>Strewnify Event ID</t>
  </si>
  <si>
    <t>local time zone</t>
  </si>
  <si>
    <t>reference point latitude</t>
  </si>
  <si>
    <t>reference point longitude</t>
  </si>
  <si>
    <t>reference point altitude</t>
  </si>
  <si>
    <t>reference point speed</t>
  </si>
  <si>
    <t>radiated energy measurement</t>
  </si>
  <si>
    <t>impact energy measurement, in kilotons</t>
  </si>
  <si>
    <t>ECEF x-component of velocity</t>
  </si>
  <si>
    <t>ECEF y-component of velocity</t>
  </si>
  <si>
    <t>ECEF z-component of velocity</t>
  </si>
  <si>
    <t>Meteor direction of travel, in degrees</t>
  </si>
  <si>
    <t>Slope of the meteor, measured in degrees from zenith</t>
  </si>
  <si>
    <t>Meteor speed at entry</t>
  </si>
  <si>
    <t>HyperMap</t>
  </si>
  <si>
    <t>hyperlink to Google map location</t>
  </si>
  <si>
    <t>date the event was processed by the source</t>
  </si>
  <si>
    <t>date the event was added to the current database</t>
  </si>
  <si>
    <t>date of last update to the current record</t>
  </si>
  <si>
    <t>Hyperlink1</t>
  </si>
  <si>
    <t>Hyperlink2</t>
  </si>
  <si>
    <t>Primary link to source</t>
  </si>
  <si>
    <t>Secondary link to source</t>
  </si>
  <si>
    <t>Geometric trajectory longtude at entry</t>
  </si>
  <si>
    <t>Geometric trajectory latitude at entry</t>
  </si>
  <si>
    <t>reverse geocode of LAT/LONG from Google API</t>
  </si>
  <si>
    <t>Geometric impact latitude</t>
  </si>
  <si>
    <t>Geometric impact longitude</t>
  </si>
  <si>
    <t>Common Reporting</t>
  </si>
  <si>
    <t>Common Required</t>
  </si>
  <si>
    <t>Slope of the meteor, measured in degrees from horizon</t>
  </si>
  <si>
    <t>NED north component of velocity</t>
  </si>
  <si>
    <t>NED east component of velocity</t>
  </si>
  <si>
    <t>NED down component of velocity</t>
  </si>
  <si>
    <t>notes_strewnoffset</t>
  </si>
  <si>
    <t>notes_refz</t>
  </si>
  <si>
    <t>Prescott</t>
  </si>
  <si>
    <t>Bagdad</t>
  </si>
  <si>
    <t>Arizona</t>
  </si>
  <si>
    <t>meas_density</t>
  </si>
  <si>
    <t>Prescott Doppler1</t>
  </si>
  <si>
    <t>Prescott Doppler2</t>
  </si>
  <si>
    <t>EventID</t>
  </si>
  <si>
    <t>RadiatedEnergy_J</t>
  </si>
  <si>
    <t>ImpactEnergy_kt</t>
  </si>
  <si>
    <t>ref_Description</t>
  </si>
  <si>
    <t>ref_Long</t>
  </si>
  <si>
    <t>ref_Lat</t>
  </si>
  <si>
    <t>impact_Lat</t>
  </si>
  <si>
    <t>impact_Long</t>
  </si>
  <si>
    <t>entry_Speed_kps</t>
  </si>
  <si>
    <t>entry_Long</t>
  </si>
  <si>
    <t>entry_Lat</t>
  </si>
  <si>
    <t>end_Lat</t>
  </si>
  <si>
    <t>end_Long</t>
  </si>
  <si>
    <t>ref_vx_ECEF_kps</t>
  </si>
  <si>
    <t>ref_vy_ECEF_kps</t>
  </si>
  <si>
    <t>ref_vz_ECEF_kps</t>
  </si>
  <si>
    <t>ref_vNorth_kps</t>
  </si>
  <si>
    <t>ref_vEast_kps</t>
  </si>
  <si>
    <t>ref_vDown_kps</t>
  </si>
  <si>
    <t>ref_ZenithAngle_deg</t>
  </si>
  <si>
    <t>ref_ElevationAngle_deg</t>
  </si>
  <si>
    <t>ref_Bearing_deg</t>
  </si>
  <si>
    <t>UTC date and time of atmospheric entry</t>
  </si>
  <si>
    <t>Geometric trajectory altitude at first visible light</t>
  </si>
  <si>
    <t>ENERGY_kt</t>
  </si>
  <si>
    <t>Estimated event impact energy, in kilotons of TNT</t>
  </si>
  <si>
    <t>DateAdded</t>
  </si>
  <si>
    <t>DateUpdated</t>
  </si>
  <si>
    <t>DateProcessed</t>
  </si>
  <si>
    <t>La Romana</t>
  </si>
  <si>
    <t>Dominican</t>
  </si>
  <si>
    <t>Dominican Republic</t>
  </si>
  <si>
    <t>Carniola</t>
  </si>
  <si>
    <t>Novo mesto</t>
  </si>
  <si>
    <t>EventName</t>
  </si>
  <si>
    <t>skip_localtime</t>
  </si>
  <si>
    <t>timezone_offset</t>
  </si>
  <si>
    <t>skip_nom_mass</t>
  </si>
  <si>
    <t>entry_Speed_mps</t>
  </si>
  <si>
    <t>Peak Intensity</t>
  </si>
  <si>
    <t>Spreadsheet</t>
  </si>
  <si>
    <t>Event name for library lookup</t>
  </si>
  <si>
    <t>nearest town to the strewn field or endpoint</t>
  </si>
  <si>
    <t>State or province</t>
  </si>
  <si>
    <t>reference point altitude, extrapolated from entry</t>
  </si>
  <si>
    <t>ref_Speed_mps</t>
  </si>
  <si>
    <t>ref_GeoAltitude_m</t>
  </si>
  <si>
    <t>ref_Altitude_km</t>
  </si>
  <si>
    <t>altitude last visible light</t>
  </si>
  <si>
    <t>longitude at last visible light</t>
  </si>
  <si>
    <t>latitude at last visible light</t>
  </si>
  <si>
    <t>sim_Material</t>
  </si>
  <si>
    <t>met_Classification</t>
  </si>
  <si>
    <t>met_BulkDensity</t>
  </si>
  <si>
    <t>error_Speed_mps</t>
  </si>
  <si>
    <t>error_Bearing_deg</t>
  </si>
  <si>
    <t>error_ZenithAngle_deg</t>
  </si>
  <si>
    <t>weather_MinSigma</t>
  </si>
  <si>
    <t>weather_MaxSigma</t>
  </si>
  <si>
    <t>find_MassTotal_kg</t>
  </si>
  <si>
    <t>find_Count</t>
  </si>
  <si>
    <t>find_Area_km2</t>
  </si>
  <si>
    <t>find_MainMass_g</t>
  </si>
  <si>
    <t>find_MedianMass_g</t>
  </si>
  <si>
    <t>find_AvgMass_g</t>
  </si>
  <si>
    <t>source_General</t>
  </si>
  <si>
    <t>source_Class</t>
  </si>
  <si>
    <t>source_Density</t>
  </si>
  <si>
    <t>source_Energy</t>
  </si>
  <si>
    <t>source_Trajectory_1</t>
  </si>
  <si>
    <t>source_Trajectory_2</t>
  </si>
  <si>
    <t>source_Trajectory_3</t>
  </si>
  <si>
    <t>source_Trajectory_4</t>
  </si>
  <si>
    <t>trajectory_Quality</t>
  </si>
  <si>
    <t>met_CRE_Age_Myr</t>
  </si>
  <si>
    <t>find_StrewnDensity_npkm2</t>
  </si>
  <si>
    <t>entry_Altitude_km</t>
  </si>
  <si>
    <t>ref_GeoAltitude_km</t>
  </si>
  <si>
    <t>end_Altitude_km</t>
  </si>
  <si>
    <t>Novo mesto test</t>
  </si>
  <si>
    <t>Cressy, Frank. From Weston To Creston, A Compendium of Witnessed US Meteorite Falls 1807 to 2016.  Salt Lake City, Utah: Self-Published Book; 2016. fcressy@prodigy.net</t>
  </si>
  <si>
    <t>Notes</t>
  </si>
  <si>
    <t>meters</t>
  </si>
  <si>
    <t>Whistling Heard Distance</t>
  </si>
  <si>
    <t>Whistling Heard</t>
  </si>
  <si>
    <t>whistling_heard</t>
  </si>
  <si>
    <t>whistling_distance</t>
  </si>
  <si>
    <t>notes</t>
  </si>
  <si>
    <t>Hallein</t>
  </si>
  <si>
    <t>na</t>
  </si>
  <si>
    <t>Salzburg</t>
  </si>
  <si>
    <t>Benld</t>
  </si>
  <si>
    <t>Illionois</t>
  </si>
  <si>
    <t>roar</t>
  </si>
  <si>
    <t>Mifflin</t>
  </si>
  <si>
    <t>Wisconsin</t>
  </si>
  <si>
    <t>MetBull</t>
  </si>
  <si>
    <t>Kombuini</t>
  </si>
  <si>
    <t>Kutus</t>
  </si>
  <si>
    <t>Kirinyaga</t>
  </si>
  <si>
    <t>estimate</t>
  </si>
  <si>
    <t>Minas Gerais</t>
  </si>
  <si>
    <t>Quintinos</t>
  </si>
  <si>
    <t>end</t>
  </si>
  <si>
    <t>St Louis Doppler</t>
  </si>
  <si>
    <t>St. Louis</t>
  </si>
  <si>
    <t>Artvin</t>
  </si>
  <si>
    <t>Sebzeciler</t>
  </si>
  <si>
    <t>Chiba</t>
  </si>
  <si>
    <t>Narashino</t>
  </si>
  <si>
    <t>Pernambuco</t>
  </si>
  <si>
    <t>Arcoverde</t>
  </si>
  <si>
    <t>Malopolska</t>
  </si>
  <si>
    <t>Ilza</t>
  </si>
  <si>
    <t>Santa Filomena</t>
  </si>
  <si>
    <t>Rio Grande Do Sul</t>
  </si>
  <si>
    <t>Vacaria</t>
  </si>
  <si>
    <t>Alabama</t>
  </si>
  <si>
    <t>Munford</t>
  </si>
  <si>
    <t>Poughkeepsie</t>
  </si>
  <si>
    <t>New York</t>
  </si>
  <si>
    <t>Fjardhundra</t>
  </si>
  <si>
    <t>Uppsala</t>
  </si>
  <si>
    <t>Fjardhundra Lindberg</t>
  </si>
  <si>
    <t>Scipioville</t>
  </si>
  <si>
    <t>Armada</t>
  </si>
  <si>
    <t>Barnes</t>
  </si>
  <si>
    <t>Qinghai</t>
  </si>
  <si>
    <t>Yushu</t>
  </si>
  <si>
    <t>iron</t>
  </si>
  <si>
    <t>yes</t>
  </si>
  <si>
    <t>Moro Bay</t>
  </si>
  <si>
    <t>Arkansas</t>
  </si>
  <si>
    <t>Port Huron</t>
  </si>
  <si>
    <t>Richmond</t>
  </si>
  <si>
    <t>Richmond Doppler</t>
  </si>
  <si>
    <t>Resolute</t>
  </si>
  <si>
    <t>Nunavut</t>
  </si>
  <si>
    <t>Devon Island</t>
  </si>
  <si>
    <t>Gloucestershire</t>
  </si>
  <si>
    <t>United Kingdom</t>
  </si>
  <si>
    <t>Winchcombe</t>
  </si>
  <si>
    <t>Victoria Land</t>
  </si>
  <si>
    <t>McMurdo Station</t>
  </si>
  <si>
    <t>Zharma District</t>
  </si>
  <si>
    <t>Zharma</t>
  </si>
  <si>
    <t>J</t>
  </si>
  <si>
    <t>TNT</t>
  </si>
  <si>
    <t>kt data</t>
  </si>
  <si>
    <t>calc J</t>
  </si>
  <si>
    <t>Temennotte</t>
  </si>
  <si>
    <t>Osthammar</t>
  </si>
  <si>
    <t>Isernia</t>
  </si>
  <si>
    <t>Goldonna</t>
  </si>
  <si>
    <t>Louisiana</t>
  </si>
  <si>
    <t>Mt. Pleasant</t>
  </si>
  <si>
    <t>Public Status</t>
  </si>
  <si>
    <t>bool</t>
  </si>
  <si>
    <t>CONFIDENTIAL</t>
  </si>
  <si>
    <t>Texas</t>
  </si>
  <si>
    <t>Monroe</t>
  </si>
  <si>
    <t>Peebinga</t>
  </si>
  <si>
    <t>South Australia</t>
  </si>
  <si>
    <t>Wesel</t>
  </si>
  <si>
    <t>Tyrifjorden</t>
  </si>
  <si>
    <t>Sollihogda</t>
  </si>
  <si>
    <t>Buskerud</t>
  </si>
  <si>
    <t>Talco</t>
  </si>
  <si>
    <t>Mt. Vernon</t>
  </si>
  <si>
    <t>Ejin Banner</t>
  </si>
  <si>
    <t>Ejin</t>
  </si>
  <si>
    <t>Inner Mongolia</t>
  </si>
  <si>
    <t>Januária</t>
  </si>
  <si>
    <t>Januaria</t>
  </si>
  <si>
    <t>Tallassee</t>
  </si>
  <si>
    <t>Tennessee</t>
  </si>
  <si>
    <t>Nyaksimvol</t>
  </si>
  <si>
    <t>Khanty-Mansi</t>
  </si>
  <si>
    <t>Light Curve Max</t>
  </si>
  <si>
    <t>Pripolyarni</t>
  </si>
  <si>
    <t>test</t>
  </si>
  <si>
    <t>Araxa</t>
  </si>
  <si>
    <t>Contact</t>
  </si>
  <si>
    <t>contact</t>
  </si>
  <si>
    <t>Tony Licata</t>
  </si>
  <si>
    <t>none</t>
  </si>
  <si>
    <t>Vicente Cayuelas Mollá</t>
  </si>
  <si>
    <t>Hilbernon Almeida</t>
  </si>
  <si>
    <t>Ciudad Real</t>
  </si>
  <si>
    <t>SourceKey</t>
  </si>
  <si>
    <t>Patch Grove</t>
  </si>
  <si>
    <t>John Higgins/Carlos Bella</t>
  </si>
  <si>
    <t>Patch Grove Doppler</t>
  </si>
  <si>
    <t>Philipp Heck, prheck@fieldmuseum.org</t>
  </si>
  <si>
    <t>Patch Grove Doppler2</t>
  </si>
  <si>
    <t>Mestanza</t>
  </si>
  <si>
    <t>Cochise</t>
  </si>
  <si>
    <t>Bill Cooke</t>
  </si>
  <si>
    <t>Willcox</t>
  </si>
  <si>
    <t>Cibecue</t>
  </si>
  <si>
    <t>Dishchiibikoh</t>
  </si>
  <si>
    <t>LL7</t>
  </si>
  <si>
    <t>l chondrite</t>
  </si>
  <si>
    <t>Jalisco</t>
  </si>
  <si>
    <t>Guadalajara</t>
  </si>
  <si>
    <t>Tombstone</t>
  </si>
  <si>
    <t>Denis Vida</t>
  </si>
  <si>
    <t>UK Meteor Network</t>
  </si>
  <si>
    <t>England</t>
  </si>
  <si>
    <t>Longden</t>
  </si>
  <si>
    <t>Argyle</t>
  </si>
  <si>
    <t>Tierra del Fuego</t>
  </si>
  <si>
    <t>Puerto Williams</t>
  </si>
  <si>
    <t>Chilean Antarctic</t>
  </si>
  <si>
    <t>Jan Mayen</t>
  </si>
  <si>
    <t>Archer River</t>
  </si>
  <si>
    <t>Queensland</t>
  </si>
  <si>
    <t>Natchez</t>
  </si>
  <si>
    <t>Mississippi</t>
  </si>
  <si>
    <t>mass</t>
  </si>
  <si>
    <t>density</t>
  </si>
  <si>
    <t>kg/m3</t>
  </si>
  <si>
    <t>m3</t>
  </si>
  <si>
    <t>Frontal Area</t>
  </si>
  <si>
    <t>m2</t>
  </si>
  <si>
    <t>Radius</t>
  </si>
  <si>
    <t>frontal mult</t>
  </si>
  <si>
    <t>0.4 1.6</t>
  </si>
  <si>
    <t>0.92 1.67</t>
  </si>
  <si>
    <t>A</t>
  </si>
  <si>
    <t>USD</t>
  </si>
  <si>
    <t>velocity</t>
  </si>
  <si>
    <t>m2/kg</t>
  </si>
  <si>
    <t>drag coef</t>
  </si>
  <si>
    <t>Puno</t>
  </si>
  <si>
    <t>South Yemen</t>
  </si>
  <si>
    <t>Sudan</t>
  </si>
  <si>
    <t>Zagami</t>
  </si>
  <si>
    <t>FRIPON</t>
  </si>
  <si>
    <t>Glastonbury</t>
  </si>
  <si>
    <t>Bridgend</t>
  </si>
  <si>
    <t>Wales</t>
  </si>
  <si>
    <t>Sonoyta</t>
  </si>
  <si>
    <t>Sonora</t>
  </si>
  <si>
    <t>Phillipines</t>
  </si>
  <si>
    <t>El Khroub</t>
  </si>
  <si>
    <t>El Bnoud</t>
  </si>
  <si>
    <t>Hillisburg</t>
  </si>
  <si>
    <t>Kyle</t>
  </si>
  <si>
    <t>Frostburg</t>
  </si>
  <si>
    <t>Maryland</t>
  </si>
  <si>
    <t>Salt Lake City</t>
  </si>
  <si>
    <t>Utah</t>
  </si>
  <si>
    <t>Salt Lake City Test</t>
  </si>
  <si>
    <t>Junction City</t>
  </si>
  <si>
    <t>Bosnia</t>
  </si>
  <si>
    <t>Gucsik Bence</t>
  </si>
  <si>
    <t>Crljeni</t>
  </si>
  <si>
    <t>Kljuc</t>
  </si>
  <si>
    <t>Sanski Most</t>
  </si>
  <si>
    <t>Andalucia </t>
  </si>
  <si>
    <t>Sanlúcar</t>
  </si>
  <si>
    <t>Lake Mead</t>
  </si>
  <si>
    <t>Willow Beach</t>
  </si>
  <si>
    <t>Cieza</t>
  </si>
  <si>
    <t>Murcia</t>
  </si>
  <si>
    <t>Tomsk</t>
  </si>
  <si>
    <t>Caribou Island</t>
  </si>
  <si>
    <t>Stanislov</t>
  </si>
  <si>
    <t>UK Meteor Observation Network</t>
  </si>
  <si>
    <t>Bourton-on-the-Water</t>
  </si>
  <si>
    <t>Bourton</t>
  </si>
  <si>
    <t>angle</t>
  </si>
  <si>
    <t>alt</t>
  </si>
  <si>
    <t>kT</t>
  </si>
  <si>
    <t>altitude</t>
  </si>
  <si>
    <t>Speed</t>
  </si>
  <si>
    <t>Altitude</t>
  </si>
  <si>
    <t>mass_g</t>
  </si>
  <si>
    <t>Energy kT</t>
  </si>
  <si>
    <t>dens</t>
  </si>
  <si>
    <t>log Energy</t>
  </si>
  <si>
    <t>log density</t>
  </si>
  <si>
    <t>Angle</t>
  </si>
  <si>
    <t>cos Energy</t>
  </si>
  <si>
    <t>E est</t>
  </si>
  <si>
    <t>Toronto</t>
  </si>
  <si>
    <t>Toronto Doppler</t>
  </si>
  <si>
    <t>Hami</t>
  </si>
  <si>
    <t>Xinjiang</t>
  </si>
  <si>
    <t>Youngsport</t>
  </si>
  <si>
    <t>Muskogee</t>
  </si>
  <si>
    <t>Oklahoma</t>
  </si>
  <si>
    <t>Oryavchyk</t>
  </si>
  <si>
    <t>Lviv Oblast</t>
  </si>
  <si>
    <t>Metbull</t>
  </si>
  <si>
    <t>ImpactEnergyEst_kt</t>
  </si>
  <si>
    <t>ref_Height_m</t>
  </si>
  <si>
    <t>sim_HeightStart_m</t>
  </si>
  <si>
    <t>sim_HeightFrag_m</t>
  </si>
  <si>
    <t>Bearing_deg</t>
  </si>
  <si>
    <t>ZenithAngle_deg</t>
  </si>
  <si>
    <t>end_Height_m</t>
  </si>
  <si>
    <t>DatetimeUTC</t>
  </si>
  <si>
    <t>Dieppe</t>
  </si>
  <si>
    <t>Normandy</t>
  </si>
  <si>
    <t>San Isidro</t>
  </si>
  <si>
    <t>2023 CX1 UKMON</t>
  </si>
  <si>
    <t>2023 CX1 MPC</t>
  </si>
  <si>
    <t>Audenhain</t>
  </si>
  <si>
    <t>Saxony</t>
  </si>
  <si>
    <t>Spurný, Pavel, Jiří Borovička, and Lukáš Shrbený, Department of Interplanetary Matter, Astronomical Institute of the Academy of Sciences of the Czech Republic</t>
  </si>
  <si>
    <t>Pavel Spurný</t>
  </si>
  <si>
    <t>Howard City</t>
  </si>
  <si>
    <t>LL</t>
  </si>
  <si>
    <t>Predicted Mass</t>
  </si>
  <si>
    <t>Predicted Strewn Area</t>
  </si>
  <si>
    <t>predicted_Area_km2</t>
  </si>
  <si>
    <t>predicted_mass_kg</t>
  </si>
  <si>
    <t>Predicted Density</t>
  </si>
  <si>
    <t>predicted_StrewnDensity_kgpkm2</t>
  </si>
  <si>
    <t>Mass Density</t>
  </si>
  <si>
    <t>TKW_density</t>
  </si>
  <si>
    <t>g/km^2</t>
  </si>
  <si>
    <t>err_ref_Lat</t>
  </si>
  <si>
    <t>err_ref_Long</t>
  </si>
  <si>
    <t>error_ref_Height_m</t>
  </si>
  <si>
    <t>Locality</t>
  </si>
  <si>
    <t>Jesenice</t>
  </si>
  <si>
    <t>Arpu Kuilpu</t>
  </si>
  <si>
    <t>Cavezzo</t>
  </si>
  <si>
    <t>Creston</t>
  </si>
  <si>
    <t>Dingle Dell</t>
  </si>
  <si>
    <t>Kindberg</t>
  </si>
  <si>
    <t>Madura Cave</t>
  </si>
  <si>
    <t>Maribo</t>
  </si>
  <si>
    <t>Motopi Pan</t>
  </si>
  <si>
    <t>Murrili</t>
  </si>
  <si>
    <t>Osceola</t>
  </si>
  <si>
    <t>Ozerki</t>
  </si>
  <si>
    <t>Porangaba</t>
  </si>
  <si>
    <t>Stubenberg</t>
  </si>
  <si>
    <t>Traspena</t>
  </si>
  <si>
    <t>Vinales</t>
  </si>
  <si>
    <t>meteoriteorbits.info</t>
  </si>
  <si>
    <t>L5-an</t>
  </si>
  <si>
    <t>L/LL5</t>
  </si>
  <si>
    <t>L4</t>
  </si>
  <si>
    <t>LL6</t>
  </si>
  <si>
    <t>Emilia-Romagna</t>
  </si>
  <si>
    <t>Shandon</t>
  </si>
  <si>
    <t>Koolanooka</t>
  </si>
  <si>
    <t>Western Australia</t>
  </si>
  <si>
    <t>Steiermark</t>
  </si>
  <si>
    <t>Madura</t>
  </si>
  <si>
    <t>Ghanzi District</t>
  </si>
  <si>
    <t>Lake Eyre</t>
  </si>
  <si>
    <t>Sanderson</t>
  </si>
  <si>
    <t>Florida</t>
  </si>
  <si>
    <t>Kamenka-Bunino</t>
  </si>
  <si>
    <t>Lipetsk Oblast</t>
  </si>
  <si>
    <t>State of Sao Paulo</t>
  </si>
  <si>
    <t>Ering</t>
  </si>
  <si>
    <t>Bayern</t>
  </si>
  <si>
    <t>Galicia</t>
  </si>
  <si>
    <t>Pinar del Rio</t>
  </si>
  <si>
    <t>Manus Island</t>
  </si>
  <si>
    <t>Bin</t>
  </si>
  <si>
    <t>More</t>
  </si>
  <si>
    <t>Frequency</t>
  </si>
  <si>
    <t>Beira</t>
  </si>
  <si>
    <t>Sofala</t>
  </si>
  <si>
    <t>Toledo</t>
  </si>
  <si>
    <t>https://www.caha.es/meteors-and-fireballs/14651-bright-fireball-above-madrid-and-toledo-provinces-on-the-second-of-april</t>
  </si>
  <si>
    <t>Kryspin Kmieciak</t>
  </si>
  <si>
    <t>Waite</t>
  </si>
  <si>
    <t>Maine</t>
  </si>
  <si>
    <t>Elmshorn</t>
  </si>
  <si>
    <t>Schleswig-Holstein</t>
  </si>
  <si>
    <t>Vincent Haberer</t>
  </si>
  <si>
    <t>Mazovia</t>
  </si>
  <si>
    <t>Zbigniew Tymiński</t>
  </si>
  <si>
    <t>Zareby Koscielne</t>
  </si>
  <si>
    <t>Hopewell</t>
  </si>
  <si>
    <t>New Jersey</t>
  </si>
  <si>
    <t>Dr. Shannon Graham, College of New Jersey Physics Department</t>
  </si>
  <si>
    <t>Gyor</t>
  </si>
  <si>
    <t>Gyor-Moson-Sopron</t>
  </si>
  <si>
    <t>Croydon</t>
  </si>
  <si>
    <t>Blackbull</t>
  </si>
  <si>
    <t>Bavaria</t>
  </si>
  <si>
    <t>Schlüsselfeld</t>
  </si>
  <si>
    <t>Schlusselfeld</t>
  </si>
  <si>
    <t>Lesura</t>
  </si>
  <si>
    <t>Mikhaylovgrad</t>
  </si>
  <si>
    <t>az</t>
  </si>
  <si>
    <t>elev</t>
  </si>
  <si>
    <t>moon</t>
  </si>
  <si>
    <t>Kingsport</t>
  </si>
  <si>
    <t>Ixtlahuacan</t>
  </si>
  <si>
    <t>Ixtlahuacán</t>
  </si>
  <si>
    <t>Colima</t>
  </si>
  <si>
    <t>Distance</t>
  </si>
  <si>
    <t>distance</t>
  </si>
  <si>
    <t>start</t>
  </si>
  <si>
    <t>pctFOV</t>
  </si>
  <si>
    <t>score</t>
  </si>
  <si>
    <t>Languedoc</t>
  </si>
  <si>
    <t>Tioga Astro</t>
  </si>
  <si>
    <t>Fireball Recovery and InterPlanetary Observation Network (FRIPON), https://fireball.fripon.org/</t>
  </si>
  <si>
    <t>Menetreol</t>
  </si>
  <si>
    <t>Menetreol-sur-Sauldre</t>
  </si>
  <si>
    <t>Y20180117_01Z_17T</t>
  </si>
  <si>
    <t>Y20190511_04Z_16T</t>
  </si>
  <si>
    <t>Y20030327_05Z_16T</t>
  </si>
  <si>
    <t>Y20110808_05Z_17T</t>
  </si>
  <si>
    <t>Y20190521_02Z_17S</t>
  </si>
  <si>
    <t>Y20140108_17Z_55M</t>
  </si>
  <si>
    <t>Y20150704_01Z_48S</t>
  </si>
  <si>
    <t>Y20080701_17Z_11S</t>
  </si>
  <si>
    <t>Y20190607_01Z_21J</t>
  </si>
  <si>
    <t>Y20090706_05Z_18S</t>
  </si>
  <si>
    <t>Y20190519_14Z_53K</t>
  </si>
  <si>
    <t>Y20190724_06Z_17T</t>
  </si>
  <si>
    <t>Y20120422_14Z_10S</t>
  </si>
  <si>
    <t>Y20130215_03Z_41U</t>
  </si>
  <si>
    <t>Y20190725_03Z_18T</t>
  </si>
  <si>
    <t>Y20190901_04Z_12U</t>
  </si>
  <si>
    <t>Y20191005_23Z_16T</t>
  </si>
  <si>
    <t>Y20190912_12Z_32U</t>
  </si>
  <si>
    <t>Y20190927_17Z_33U</t>
  </si>
  <si>
    <t>Y20191001_04Z_17S</t>
  </si>
  <si>
    <t>Y20191010_16Z_51T</t>
  </si>
  <si>
    <t>Y20191112_02Z_15S</t>
  </si>
  <si>
    <t>Y20191204_00Z_16T</t>
  </si>
  <si>
    <t>Y20000118_16Z_08V</t>
  </si>
  <si>
    <t>Y20070720_19Z_52J</t>
  </si>
  <si>
    <t>Y20070915_16Z_19K</t>
  </si>
  <si>
    <t>Y19521113_XXZ_33N</t>
  </si>
  <si>
    <t>Y20090926_01Z_17T</t>
  </si>
  <si>
    <t>Y19120720_03Z_12S</t>
  </si>
  <si>
    <t>Y19801203_04Z_39P</t>
  </si>
  <si>
    <t>Y19420422_17Z_36N</t>
  </si>
  <si>
    <t>Y20090117_19Z_33U</t>
  </si>
  <si>
    <t>Y20020406_20Z_32T</t>
  </si>
  <si>
    <t>Y19640514_18Z_31T</t>
  </si>
  <si>
    <t>Y19590407_19Z_33U</t>
  </si>
  <si>
    <t>Y19620608_18Z_31U</t>
  </si>
  <si>
    <t>Y19401026_XXZ_44Q</t>
  </si>
  <si>
    <t>Y19470212_00Z_53T</t>
  </si>
  <si>
    <t>Y19700104_02Z_15S</t>
  </si>
  <si>
    <t>Y19770206_02Z_12U</t>
  </si>
  <si>
    <t>Y19910507_23Z_33U</t>
  </si>
  <si>
    <t>Y19921009_23Z_17S</t>
  </si>
  <si>
    <t>Y20000506_11Z_34U</t>
  </si>
  <si>
    <t>Y20040104_16Z_30T</t>
  </si>
  <si>
    <t>Y20081007_02Z_36Q</t>
  </si>
  <si>
    <t>Y20081121_00Z_12U</t>
  </si>
  <si>
    <t>Y20090409_00Z_33T</t>
  </si>
  <si>
    <t>Y20100228_22Z_39Q</t>
  </si>
  <si>
    <t>Y20100413_10Z_52J</t>
  </si>
  <si>
    <t>Y20110204_23Z_33T</t>
  </si>
  <si>
    <t>Y20121018_02Z_10S</t>
  </si>
  <si>
    <t>Y20140418_22Z_36W</t>
  </si>
  <si>
    <t>Y20141209_16Z_33U</t>
  </si>
  <si>
    <t>Y20160206_21Z_32U</t>
  </si>
  <si>
    <t>Y20061209_06Z_35R</t>
  </si>
  <si>
    <t>Y20150902_20Z_37S</t>
  </si>
  <si>
    <t>Y20190424_03Z_16P</t>
  </si>
  <si>
    <t>Y20200105_03Z_33U</t>
  </si>
  <si>
    <t>Y20200127_05Z_31R</t>
  </si>
  <si>
    <t>Y20200128_23Z_30S</t>
  </si>
  <si>
    <t>Y20200210_23Z_43R</t>
  </si>
  <si>
    <t>Y20200207_23Z_16S</t>
  </si>
  <si>
    <t>Y20200216_14Z_12S</t>
  </si>
  <si>
    <t>Y20200221_07Z_19Q</t>
  </si>
  <si>
    <t>Y20200228_09Z_33T</t>
  </si>
  <si>
    <t>Y20200406_13Z_33T</t>
  </si>
  <si>
    <t>Y19380929_15Z_16S</t>
  </si>
  <si>
    <t>Y20100415_03Z_15T</t>
  </si>
  <si>
    <t>Y20200424_17Z_37M</t>
  </si>
  <si>
    <t>Y20200508_06Z_23K</t>
  </si>
  <si>
    <t>Y20200527_17Z_37T</t>
  </si>
  <si>
    <t>Y20200701_17Z_54S</t>
  </si>
  <si>
    <t>Y20200715_21Z_24L</t>
  </si>
  <si>
    <t>Y20200731_00Z_34U</t>
  </si>
  <si>
    <t>Y20200819_13Z_24L</t>
  </si>
  <si>
    <t>Y20201001_04Z_22J</t>
  </si>
  <si>
    <t>Y20201101_23Z_16S</t>
  </si>
  <si>
    <t>Y20201109_00Z_18T</t>
  </si>
  <si>
    <t>Y20201107_21Z_33V</t>
  </si>
  <si>
    <t>Y20201202_17Z_18T</t>
  </si>
  <si>
    <t>Y20201211_00Z_17T</t>
  </si>
  <si>
    <t>Y20201216_12Z_15T</t>
  </si>
  <si>
    <t>Y20201222_23Z_47R</t>
  </si>
  <si>
    <t>Y20210225_02Z_15S</t>
  </si>
  <si>
    <t>Y20210227_03Z_17T</t>
  </si>
  <si>
    <t>Y20210209_23Z_15X</t>
  </si>
  <si>
    <t>Y20210228_21Z_30U</t>
  </si>
  <si>
    <t>Y20210305_13Z_00B</t>
  </si>
  <si>
    <t>Y20210202_10Z_44U</t>
  </si>
  <si>
    <t>Y20210316_18Z_34V</t>
  </si>
  <si>
    <t>Y20210315_07Z_33T</t>
  </si>
  <si>
    <t>Y20100308_10Z_15S</t>
  </si>
  <si>
    <t>Y20170819_04Z_15S</t>
  </si>
  <si>
    <t>Y20210506_05Z_54H</t>
  </si>
  <si>
    <t>Y20200302_23Z_32U</t>
  </si>
  <si>
    <t>Y20210724_23Z_32V</t>
  </si>
  <si>
    <t>Y20210726_01Z_15S</t>
  </si>
  <si>
    <t>Y20210729_13Z_47T</t>
  </si>
  <si>
    <t>Y20210908_01Z_23L</t>
  </si>
  <si>
    <t>Y20211024_01Z_16S</t>
  </si>
  <si>
    <t>Y20211220_23Z_41V</t>
  </si>
  <si>
    <t>Y20220113_17Z_33U</t>
  </si>
  <si>
    <t>Y20220114_11Z_23K</t>
  </si>
  <si>
    <t>Y20220114_21Z_30S</t>
  </si>
  <si>
    <t>Y20220120_12Z_15T</t>
  </si>
  <si>
    <t>Y20220127_02Z_12S</t>
  </si>
  <si>
    <t>Y20160602_10Z_12S</t>
  </si>
  <si>
    <t>Y20220107_06Z_13Q</t>
  </si>
  <si>
    <t>Y20210401_11Z_12R</t>
  </si>
  <si>
    <t>Y20220418_03Z_17T</t>
  </si>
  <si>
    <t>Y20220413_23Z_30U</t>
  </si>
  <si>
    <t>Y20220421_22Z_19F</t>
  </si>
  <si>
    <t>Y20220311_21Z_29W</t>
  </si>
  <si>
    <t>Y20220203_19Z_54L</t>
  </si>
  <si>
    <t>Y20220427_13Z_15R</t>
  </si>
  <si>
    <t>Y19621003_XXZ_32P</t>
  </si>
  <si>
    <t>Y20220516_20Z_30U</t>
  </si>
  <si>
    <t>Y20220511_23Z_30U</t>
  </si>
  <si>
    <t>Y20220520_05Z_12R</t>
  </si>
  <si>
    <t>Y20150614_03Z_51N</t>
  </si>
  <si>
    <t>Y20161001_20Z_32S</t>
  </si>
  <si>
    <t>Y20120204_14Z_31S</t>
  </si>
  <si>
    <t>Y20220722_05Z_16T</t>
  </si>
  <si>
    <t>Y20220725_03Z_14R</t>
  </si>
  <si>
    <t>Y20220730_01Z_17S</t>
  </si>
  <si>
    <t>Y20220813_14Z_12T</t>
  </si>
  <si>
    <t>Y20220926_04Z_16S</t>
  </si>
  <si>
    <t>Y20221011_18Z_33T</t>
  </si>
  <si>
    <t>Y20221014_18Z_29S</t>
  </si>
  <si>
    <t>Y20221022_01Z_XXX</t>
  </si>
  <si>
    <t>Y20221025_01Z_11S</t>
  </si>
  <si>
    <t>Y20221012_04Z_30S</t>
  </si>
  <si>
    <t>Y20221016_17Z_45V</t>
  </si>
  <si>
    <t>Y20221023_19Z_30U</t>
  </si>
  <si>
    <t>Y20221119_08Z_17T</t>
  </si>
  <si>
    <t>Y20221229_06Z_46T</t>
  </si>
  <si>
    <t>Y20230111_00Z_14R</t>
  </si>
  <si>
    <t>Y20230120_09Z_15S</t>
  </si>
  <si>
    <t>Y20230125_03Z_34U</t>
  </si>
  <si>
    <t>Y20230213_02Z_31U</t>
  </si>
  <si>
    <t>Y20230215_23Z_14R</t>
  </si>
  <si>
    <t>Y20230208_23Z_33U</t>
  </si>
  <si>
    <t>Y20230220_01Z_16T</t>
  </si>
  <si>
    <t>Y20190601_20Z_52J</t>
  </si>
  <si>
    <t>Y20200101_18Z_32T</t>
  </si>
  <si>
    <t>Y20151024_05Z_10S</t>
  </si>
  <si>
    <t>Y20161031_12Z_50J</t>
  </si>
  <si>
    <t>Y20201119_03Z_33T</t>
  </si>
  <si>
    <t>Y20200619_20Z_52J</t>
  </si>
  <si>
    <t>Y20090117_19Z_32U</t>
  </si>
  <si>
    <t>Y20180602_16Z_34K</t>
  </si>
  <si>
    <t>Y20151127_10Z_53J</t>
  </si>
  <si>
    <t>Y20160124_15Z_17R</t>
  </si>
  <si>
    <t>Y20180621_01Z_37U</t>
  </si>
  <si>
    <t>Y20150109_17Z_22K</t>
  </si>
  <si>
    <t>Y20160306_21Z_33U</t>
  </si>
  <si>
    <t>Y20210118_00Z_29T</t>
  </si>
  <si>
    <t>Y20190201_18Z_17Q</t>
  </si>
  <si>
    <t>Y20230415_08Z_37K</t>
  </si>
  <si>
    <t>Y20230402_19Z_30S</t>
  </si>
  <si>
    <t>Y20230408_15Z_19T</t>
  </si>
  <si>
    <t>Y20230425_12Z_32U</t>
  </si>
  <si>
    <t>Y20230427_01Z_34U</t>
  </si>
  <si>
    <t>Y20230508_16Z_18T</t>
  </si>
  <si>
    <t>Y20230520_21Z_33T</t>
  </si>
  <si>
    <t>Y20230520_11Z_54K</t>
  </si>
  <si>
    <t>Y20230626_20Z_32U</t>
  </si>
  <si>
    <t>Y20230711_18Z_34T</t>
  </si>
  <si>
    <t>Y20230726_03Z_13Q</t>
  </si>
  <si>
    <t>Y20230802_06Z_17S</t>
  </si>
  <si>
    <t>Y20230907_11Z_09S</t>
  </si>
  <si>
    <t>Wismar</t>
  </si>
  <si>
    <t>Matra</t>
  </si>
  <si>
    <t>Matra Mountains</t>
  </si>
  <si>
    <t>Heves</t>
  </si>
  <si>
    <t>Saint-Symphorien</t>
  </si>
  <si>
    <t>Mountain Home</t>
  </si>
  <si>
    <t>Idaho</t>
  </si>
  <si>
    <t>Annie Morris</t>
  </si>
  <si>
    <t>Mountain Home 40km</t>
  </si>
  <si>
    <t>Mountain Home 50km</t>
  </si>
  <si>
    <t>Mountain Home 30km</t>
  </si>
  <si>
    <t>Annie Morris, AMS20</t>
  </si>
  <si>
    <t>offset</t>
  </si>
  <si>
    <t>BIT</t>
  </si>
  <si>
    <t>Baker Island Time</t>
  </si>
  <si>
    <t>IDLW</t>
  </si>
  <si>
    <t>International Date Line West time zone</t>
  </si>
  <si>
    <t>NUT</t>
  </si>
  <si>
    <t>Niue Time</t>
  </si>
  <si>
    <t>SST</t>
  </si>
  <si>
    <t>Samoa Standard Time</t>
  </si>
  <si>
    <t>CKT</t>
  </si>
  <si>
    <t>Cook Island Time</t>
  </si>
  <si>
    <t>HST</t>
  </si>
  <si>
    <t>Hawaii–Aleutian Standard Time</t>
  </si>
  <si>
    <t>SDT</t>
  </si>
  <si>
    <t>Samoa Daylight Time</t>
  </si>
  <si>
    <t>TAHT</t>
  </si>
  <si>
    <t>Tahiti Time</t>
  </si>
  <si>
    <t>MART</t>
  </si>
  <si>
    <t>Marquesas Islands Time</t>
  </si>
  <si>
    <t>MIT</t>
  </si>
  <si>
    <t>AKST</t>
  </si>
  <si>
    <t>Alaska Standard Time</t>
  </si>
  <si>
    <t>GAMT</t>
  </si>
  <si>
    <t>Gambier Islands Time</t>
  </si>
  <si>
    <t>GIT</t>
  </si>
  <si>
    <t>Gambier Island Time</t>
  </si>
  <si>
    <t>HDT</t>
  </si>
  <si>
    <t>Hawaii–Aleutian Daylight Time</t>
  </si>
  <si>
    <t>AKDT</t>
  </si>
  <si>
    <t>Alaska Daylight Time</t>
  </si>
  <si>
    <t>CIST</t>
  </si>
  <si>
    <t>Clipperton Island Standard Time</t>
  </si>
  <si>
    <t>PST</t>
  </si>
  <si>
    <t>Pacific Standard Time (North America)</t>
  </si>
  <si>
    <t>MST</t>
  </si>
  <si>
    <t>Mountain Standard Time (North America)</t>
  </si>
  <si>
    <t>PDT</t>
  </si>
  <si>
    <t>Pacific Daylight Time (North America)</t>
  </si>
  <si>
    <t>CST</t>
  </si>
  <si>
    <t>Central Standard Time (North America)</t>
  </si>
  <si>
    <t>EAST</t>
  </si>
  <si>
    <t>Easter Island Standard Time</t>
  </si>
  <si>
    <t>GALT</t>
  </si>
  <si>
    <t>Galápagos Time</t>
  </si>
  <si>
    <t>MDT</t>
  </si>
  <si>
    <t>Mountain Daylight Time (North America)</t>
  </si>
  <si>
    <t>ACT</t>
  </si>
  <si>
    <t>Acre Time</t>
  </si>
  <si>
    <t>CDT</t>
  </si>
  <si>
    <t>Central Daylight Time (North America)</t>
  </si>
  <si>
    <t>COT</t>
  </si>
  <si>
    <t>Colombia Time</t>
  </si>
  <si>
    <t>Cuba Standard Time</t>
  </si>
  <si>
    <t>EASST</t>
  </si>
  <si>
    <t>Easter Island Summer Time</t>
  </si>
  <si>
    <t>ECT</t>
  </si>
  <si>
    <t>Ecuador Time</t>
  </si>
  <si>
    <t>Eastern Standard Time (North America)</t>
  </si>
  <si>
    <t>PET</t>
  </si>
  <si>
    <t>Peru Time</t>
  </si>
  <si>
    <t>AMT</t>
  </si>
  <si>
    <t>Amazon Time (Brazil)[3]</t>
  </si>
  <si>
    <t>AST</t>
  </si>
  <si>
    <t>Atlantic Standard Time</t>
  </si>
  <si>
    <t>BOT</t>
  </si>
  <si>
    <t>Bolivia Time</t>
  </si>
  <si>
    <t>Cuba Daylight Time[7]</t>
  </si>
  <si>
    <t>CLT</t>
  </si>
  <si>
    <t>Chile Standard Time</t>
  </si>
  <si>
    <t>COST</t>
  </si>
  <si>
    <t>Colombia Summer Time</t>
  </si>
  <si>
    <t>Eastern Caribbean Time (does not recognise DST)</t>
  </si>
  <si>
    <t>EDT</t>
  </si>
  <si>
    <t>Eastern Daylight Time (North America)</t>
  </si>
  <si>
    <t>FKT</t>
  </si>
  <si>
    <t>Falkland Islands Time</t>
  </si>
  <si>
    <t>GYT</t>
  </si>
  <si>
    <t>Guyana Time</t>
  </si>
  <si>
    <t>PYT</t>
  </si>
  <si>
    <t>Paraguay Time[12]</t>
  </si>
  <si>
    <t>VET</t>
  </si>
  <si>
    <t>Venezuelan Standard Time</t>
  </si>
  <si>
    <t>NST</t>
  </si>
  <si>
    <t>Newfoundland Standard Time</t>
  </si>
  <si>
    <t>NT</t>
  </si>
  <si>
    <t>Newfoundland Time</t>
  </si>
  <si>
    <t>ADT</t>
  </si>
  <si>
    <t>Atlantic Daylight Time</t>
  </si>
  <si>
    <t>AMST</t>
  </si>
  <si>
    <t>Amazon Summer Time (Brazil)[2]</t>
  </si>
  <si>
    <t>ART</t>
  </si>
  <si>
    <t>Argentina Time</t>
  </si>
  <si>
    <t>BRT</t>
  </si>
  <si>
    <t>Brasília Time</t>
  </si>
  <si>
    <t>CLST</t>
  </si>
  <si>
    <t>Chile Summer Time</t>
  </si>
  <si>
    <t>FKST</t>
  </si>
  <si>
    <t>Falkland Islands Summer Time</t>
  </si>
  <si>
    <t>GFT</t>
  </si>
  <si>
    <t>French Guiana Time</t>
  </si>
  <si>
    <t>PMST</t>
  </si>
  <si>
    <t>Saint Pierre and Miquelon Standard Time</t>
  </si>
  <si>
    <t>PYST</t>
  </si>
  <si>
    <t>Paraguay Summer Time[11]</t>
  </si>
  <si>
    <t>ROTT</t>
  </si>
  <si>
    <t>Rothera Research Station Time</t>
  </si>
  <si>
    <t>SRT</t>
  </si>
  <si>
    <t>Suriname Time</t>
  </si>
  <si>
    <t>UYT</t>
  </si>
  <si>
    <t>Uruguay Standard Time</t>
  </si>
  <si>
    <t>WGT</t>
  </si>
  <si>
    <t>West Greenland Time[15]</t>
  </si>
  <si>
    <t>NDT</t>
  </si>
  <si>
    <t>Newfoundland Daylight Time</t>
  </si>
  <si>
    <t>BRST</t>
  </si>
  <si>
    <t>Brasília Summer Time</t>
  </si>
  <si>
    <t>FNT</t>
  </si>
  <si>
    <t>Fernando de Noronha Time</t>
  </si>
  <si>
    <t>GST</t>
  </si>
  <si>
    <t>South Georgia and the South Sandwich Islands Time</t>
  </si>
  <si>
    <t>PMDT</t>
  </si>
  <si>
    <t>Saint Pierre and Miquelon Daylight Time</t>
  </si>
  <si>
    <t>UYST</t>
  </si>
  <si>
    <t>Uruguay Summer Time</t>
  </si>
  <si>
    <t>WGST</t>
  </si>
  <si>
    <t>West Greenland Summer Time[14]</t>
  </si>
  <si>
    <t>AZOT</t>
  </si>
  <si>
    <t>Azores Standard Time</t>
  </si>
  <si>
    <t>CVT</t>
  </si>
  <si>
    <t>Cape Verde Time</t>
  </si>
  <si>
    <t>EGT</t>
  </si>
  <si>
    <t>Eastern Greenland Time</t>
  </si>
  <si>
    <t>AZOST</t>
  </si>
  <si>
    <t>Azores Summer Time</t>
  </si>
  <si>
    <t>EGST</t>
  </si>
  <si>
    <t>Eastern Greenland Summer Time</t>
  </si>
  <si>
    <t>GMT</t>
  </si>
  <si>
    <t>Greenwich Mean Time</t>
  </si>
  <si>
    <t>UTC</t>
  </si>
  <si>
    <t>Coordinated Universal Time</t>
  </si>
  <si>
    <t>WET</t>
  </si>
  <si>
    <t>Western European Time</t>
  </si>
  <si>
    <t>BST</t>
  </si>
  <si>
    <t>British Summer Time (British Standard Time from Mar 1968 to Oct 1971)</t>
  </si>
  <si>
    <t>CET</t>
  </si>
  <si>
    <t>Central European Time</t>
  </si>
  <si>
    <t>DFT</t>
  </si>
  <si>
    <t>AIX-specific equivalent of Central European Time[NB 1]</t>
  </si>
  <si>
    <t>IST</t>
  </si>
  <si>
    <t>Irish Standard Time[8]</t>
  </si>
  <si>
    <t>MET</t>
  </si>
  <si>
    <t>Middle European Time (same zone as CET)</t>
  </si>
  <si>
    <t>WAT</t>
  </si>
  <si>
    <t>West Africa Time</t>
  </si>
  <si>
    <t>WEST</t>
  </si>
  <si>
    <t>Western European Summer Time</t>
  </si>
  <si>
    <t>CAT</t>
  </si>
  <si>
    <t>Central Africa Time</t>
  </si>
  <si>
    <t>CEST</t>
  </si>
  <si>
    <t>Central European Summer Time</t>
  </si>
  <si>
    <t>EET</t>
  </si>
  <si>
    <t>Eastern European Time</t>
  </si>
  <si>
    <t>HAEC</t>
  </si>
  <si>
    <t>Heure Avancée d'Europe Centrale French-language name for CEST</t>
  </si>
  <si>
    <t>Israel Standard Time</t>
  </si>
  <si>
    <t>KALT</t>
  </si>
  <si>
    <t>Kaliningrad Time</t>
  </si>
  <si>
    <t>MEST</t>
  </si>
  <si>
    <t>Middle European Summer Time (same zone as CEST)</t>
  </si>
  <si>
    <t>SAST</t>
  </si>
  <si>
    <t>South African Standard Time</t>
  </si>
  <si>
    <t>WAST</t>
  </si>
  <si>
    <t>West Africa Summer Time</t>
  </si>
  <si>
    <t>Arabia Standard Time</t>
  </si>
  <si>
    <t>EAT</t>
  </si>
  <si>
    <t>East Africa Time</t>
  </si>
  <si>
    <t>EEST</t>
  </si>
  <si>
    <t>Eastern European Summer Time</t>
  </si>
  <si>
    <t>FET</t>
  </si>
  <si>
    <t>Further-eastern European Time</t>
  </si>
  <si>
    <t>IDT</t>
  </si>
  <si>
    <t>Israel Daylight Time</t>
  </si>
  <si>
    <t>Indian Ocean Time</t>
  </si>
  <si>
    <t>MSK</t>
  </si>
  <si>
    <t>Moscow Time</t>
  </si>
  <si>
    <t>SYOT</t>
  </si>
  <si>
    <t>Showa Station Time</t>
  </si>
  <si>
    <t>TRT</t>
  </si>
  <si>
    <t>Turkey Time</t>
  </si>
  <si>
    <t>VOLT</t>
  </si>
  <si>
    <t>Volgograd Time</t>
  </si>
  <si>
    <t>IRST</t>
  </si>
  <si>
    <t>Iran Standard Time</t>
  </si>
  <si>
    <t>Armenia Time</t>
  </si>
  <si>
    <t>AZT</t>
  </si>
  <si>
    <t>Azerbaijan Time</t>
  </si>
  <si>
    <t>GET</t>
  </si>
  <si>
    <t>Georgia Standard Time</t>
  </si>
  <si>
    <t>Gulf Standard Time</t>
  </si>
  <si>
    <t>MUT</t>
  </si>
  <si>
    <t>Mauritius Time</t>
  </si>
  <si>
    <t>RET</t>
  </si>
  <si>
    <t>Réunion Time</t>
  </si>
  <si>
    <t>SAMT</t>
  </si>
  <si>
    <t>Samara Time</t>
  </si>
  <si>
    <t>SCT</t>
  </si>
  <si>
    <t>Seychelles Time</t>
  </si>
  <si>
    <t>AFT</t>
  </si>
  <si>
    <t>Afghanistan Time</t>
  </si>
  <si>
    <t>IRDT</t>
  </si>
  <si>
    <t>Iran Daylight Time</t>
  </si>
  <si>
    <t>AQTT</t>
  </si>
  <si>
    <t>Aqtobe Time[5]</t>
  </si>
  <si>
    <t>HMT</t>
  </si>
  <si>
    <t>Heard and McDonald Islands Time</t>
  </si>
  <si>
    <t>MAWT</t>
  </si>
  <si>
    <t>Mawson Station Time</t>
  </si>
  <si>
    <t>MVT</t>
  </si>
  <si>
    <t>Maldives Time</t>
  </si>
  <si>
    <t>ORAT</t>
  </si>
  <si>
    <t>Oral Time</t>
  </si>
  <si>
    <t>PKT</t>
  </si>
  <si>
    <t>Pakistan Standard Time</t>
  </si>
  <si>
    <t>TFT</t>
  </si>
  <si>
    <t>French Southern and Antarctic Time[13]</t>
  </si>
  <si>
    <t>TJT</t>
  </si>
  <si>
    <t>Tajikistan Time</t>
  </si>
  <si>
    <t>TMT</t>
  </si>
  <si>
    <t>Turkmenistan Time</t>
  </si>
  <si>
    <t>UZT</t>
  </si>
  <si>
    <t>Uzbekistan Time</t>
  </si>
  <si>
    <t>YEKT</t>
  </si>
  <si>
    <t>Yekaterinburg Time</t>
  </si>
  <si>
    <t>Indian Standard Time</t>
  </si>
  <si>
    <t>SLST</t>
  </si>
  <si>
    <t>Sri Lanka Standard Time</t>
  </si>
  <si>
    <t>NPT</t>
  </si>
  <si>
    <t>Nepal Time</t>
  </si>
  <si>
    <t>ALMT</t>
  </si>
  <si>
    <t>Alma-Ata Time[1]</t>
  </si>
  <si>
    <t>BIOT</t>
  </si>
  <si>
    <t>British Indian Ocean Time</t>
  </si>
  <si>
    <t>Bangladesh Standard Time</t>
  </si>
  <si>
    <t>BTT</t>
  </si>
  <si>
    <t>Bhutan Time</t>
  </si>
  <si>
    <t>KGT</t>
  </si>
  <si>
    <t>Kyrgyzstan Time</t>
  </si>
  <si>
    <t>OMST</t>
  </si>
  <si>
    <t>Omsk Time</t>
  </si>
  <si>
    <t>VOST</t>
  </si>
  <si>
    <t>Vostok Station Time</t>
  </si>
  <si>
    <t>CCT</t>
  </si>
  <si>
    <t>Cocos Islands Time</t>
  </si>
  <si>
    <t>MMT</t>
  </si>
  <si>
    <t>Myanmar Standard Time</t>
  </si>
  <si>
    <t>CXT</t>
  </si>
  <si>
    <t>Christmas Island Time</t>
  </si>
  <si>
    <t>DAVT</t>
  </si>
  <si>
    <t>Davis Time</t>
  </si>
  <si>
    <t>HOVT</t>
  </si>
  <si>
    <t>Hovd Time</t>
  </si>
  <si>
    <t>ICT</t>
  </si>
  <si>
    <t>Indochina Time</t>
  </si>
  <si>
    <t>KRAT</t>
  </si>
  <si>
    <t>Krasnoyarsk Time</t>
  </si>
  <si>
    <t>NOVT</t>
  </si>
  <si>
    <t>Novosibirsk Time [9]</t>
  </si>
  <si>
    <t>Thailand Standard Time</t>
  </si>
  <si>
    <t>WIB</t>
  </si>
  <si>
    <t>Western Indonesian Time</t>
  </si>
  <si>
    <t>ASEAN Common Time (proposed)</t>
  </si>
  <si>
    <t>AWST</t>
  </si>
  <si>
    <t>Australian Western Standard Time</t>
  </si>
  <si>
    <t>BNT</t>
  </si>
  <si>
    <t>Brunei Time</t>
  </si>
  <si>
    <t>CHOT</t>
  </si>
  <si>
    <t>Choibalsan Standard Time</t>
  </si>
  <si>
    <t>China Standard Time</t>
  </si>
  <si>
    <t>HKT</t>
  </si>
  <si>
    <t>Hong Kong Time</t>
  </si>
  <si>
    <t>HOVST</t>
  </si>
  <si>
    <t>Hovd Summer Time (not used from 2017-present)</t>
  </si>
  <si>
    <t>IRKT</t>
  </si>
  <si>
    <t>Irkutsk Time</t>
  </si>
  <si>
    <t>Malaysia Standard Time</t>
  </si>
  <si>
    <t>Malaysia Time</t>
  </si>
  <si>
    <t>PHT</t>
  </si>
  <si>
    <t>Philippine Time</t>
  </si>
  <si>
    <t>PHST</t>
  </si>
  <si>
    <t>Philippine Standard Time</t>
  </si>
  <si>
    <t>SGT</t>
  </si>
  <si>
    <t>Singapore Time</t>
  </si>
  <si>
    <t>Singapore Standard Time</t>
  </si>
  <si>
    <t>TST</t>
  </si>
  <si>
    <t>Taiwan Standard Time</t>
  </si>
  <si>
    <t>ULAT</t>
  </si>
  <si>
    <t>Ulaanbaatar Standard Time</t>
  </si>
  <si>
    <t>WITA</t>
  </si>
  <si>
    <t>Central Indonesia Time</t>
  </si>
  <si>
    <t>WST</t>
  </si>
  <si>
    <t>Western Standard Time</t>
  </si>
  <si>
    <t>ACWST</t>
  </si>
  <si>
    <t>Australian Central Western Standard Time (unofficial)</t>
  </si>
  <si>
    <t>CWST</t>
  </si>
  <si>
    <t>Central Western Standard Time (Australia) unofficial</t>
  </si>
  <si>
    <t>CHOST</t>
  </si>
  <si>
    <t>Choibalsan Summer Time</t>
  </si>
  <si>
    <t>JST</t>
  </si>
  <si>
    <t>Japan Standard Time</t>
  </si>
  <si>
    <t>KST</t>
  </si>
  <si>
    <t>Korea Standard Time</t>
  </si>
  <si>
    <t>PWT</t>
  </si>
  <si>
    <t>Palau Time[10]</t>
  </si>
  <si>
    <t>TLT</t>
  </si>
  <si>
    <t>Timor Leste Time</t>
  </si>
  <si>
    <t>ULAST</t>
  </si>
  <si>
    <t>Ulaanbaatar Summer Time</t>
  </si>
  <si>
    <t>WIT</t>
  </si>
  <si>
    <t>Eastern Indonesian Time</t>
  </si>
  <si>
    <t>YAKT</t>
  </si>
  <si>
    <t>Yakutsk Time</t>
  </si>
  <si>
    <t>ACST</t>
  </si>
  <si>
    <t>Australian Central Standard Time</t>
  </si>
  <si>
    <t>AEST</t>
  </si>
  <si>
    <t>Australian Eastern Standard Time</t>
  </si>
  <si>
    <t>CHST</t>
  </si>
  <si>
    <t>Chamorro Standard Time</t>
  </si>
  <si>
    <t>CHUT</t>
  </si>
  <si>
    <t>Chuuk Time</t>
  </si>
  <si>
    <t>DDUT</t>
  </si>
  <si>
    <t>Dumont d'Urville Time</t>
  </si>
  <si>
    <t>PGT</t>
  </si>
  <si>
    <t>Papua New Guinea Time</t>
  </si>
  <si>
    <t>VLAT</t>
  </si>
  <si>
    <t>Vladivostok Time</t>
  </si>
  <si>
    <t>ACDT</t>
  </si>
  <si>
    <t>Australian Central Daylight Saving Time</t>
  </si>
  <si>
    <t>LHST</t>
  </si>
  <si>
    <t>Lord Howe Standard Time</t>
  </si>
  <si>
    <t>AEDT</t>
  </si>
  <si>
    <t>Australian Eastern Daylight Saving Time</t>
  </si>
  <si>
    <t>Bougainville Standard Time[6]</t>
  </si>
  <si>
    <t>KOST</t>
  </si>
  <si>
    <t>Kosrae Time</t>
  </si>
  <si>
    <t>Lord Howe Summer Time</t>
  </si>
  <si>
    <t>MIST</t>
  </si>
  <si>
    <t>Macquarie Island Station Time</t>
  </si>
  <si>
    <t>NCT</t>
  </si>
  <si>
    <t>New Caledonia Time</t>
  </si>
  <si>
    <t>NFT</t>
  </si>
  <si>
    <t>Norfolk Island Time</t>
  </si>
  <si>
    <t>PONT</t>
  </si>
  <si>
    <t>Pohnpei Standard Time</t>
  </si>
  <si>
    <t>SAKT</t>
  </si>
  <si>
    <t>Sakhalin Island Time</t>
  </si>
  <si>
    <t>SBT</t>
  </si>
  <si>
    <t>Solomon Islands Time</t>
  </si>
  <si>
    <t>SRET</t>
  </si>
  <si>
    <t>Srednekolymsk Time</t>
  </si>
  <si>
    <t>Vanuatu Time</t>
  </si>
  <si>
    <t>ANAT</t>
  </si>
  <si>
    <t>Anadyr Time[4]</t>
  </si>
  <si>
    <t>FJT</t>
  </si>
  <si>
    <t>Fiji Time</t>
  </si>
  <si>
    <t>GILT</t>
  </si>
  <si>
    <t>Gilbert Island Time</t>
  </si>
  <si>
    <t>MAGT</t>
  </si>
  <si>
    <t>Magadan Time</t>
  </si>
  <si>
    <t>MHT</t>
  </si>
  <si>
    <t>Marshall Islands Time</t>
  </si>
  <si>
    <t>NZST</t>
  </si>
  <si>
    <t>New Zealand Standard Time</t>
  </si>
  <si>
    <t>PETT</t>
  </si>
  <si>
    <t>Kamchatka Time</t>
  </si>
  <si>
    <t>TVT</t>
  </si>
  <si>
    <t>Tuvalu Time</t>
  </si>
  <si>
    <t>WAKT</t>
  </si>
  <si>
    <t>Wake Island Time</t>
  </si>
  <si>
    <t>CHAST</t>
  </si>
  <si>
    <t>Chatham Standard Time</t>
  </si>
  <si>
    <t>NZDT</t>
  </si>
  <si>
    <t>New Zealand Daylight Time</t>
  </si>
  <si>
    <t>PHOT</t>
  </si>
  <si>
    <t>Phoenix Island Time</t>
  </si>
  <si>
    <t>TKT</t>
  </si>
  <si>
    <t>Tokelau Time</t>
  </si>
  <si>
    <t>TOT</t>
  </si>
  <si>
    <t>Tonga Time</t>
  </si>
  <si>
    <t>CHADT</t>
  </si>
  <si>
    <t>Chatham Daylight Time</t>
  </si>
  <si>
    <t>LINT</t>
  </si>
  <si>
    <t>Line Islands Time</t>
  </si>
  <si>
    <t>Brixham</t>
  </si>
  <si>
    <t>Devon</t>
  </si>
  <si>
    <t>Luther Jackson</t>
  </si>
  <si>
    <t>Quartzite</t>
  </si>
  <si>
    <t>Emwaila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</si>
</sst>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m/dd/yyyy\ hh:mm:ss"/>
    <numFmt numFmtId="165" formatCode="mm/dd/yyyy\ hh:mm:ss\ AM/PM"/>
    <numFmt numFmtId="166" formatCode="\+0.0;\-0.0"/>
    <numFmt numFmtId="167" formatCode="0.00000"/>
    <numFmt numFmtId="168" formatCode="0.0"/>
    <numFmt numFmtId="169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7F7F7F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3" fillId="0" borderId="0" applyNumberFormat="0" applyFill="0" applyBorder="0" applyAlignment="0" applyProtection="0"/>
    <xf numFmtId="0" fontId="5" fillId="4" borderId="1" applyNumberFormat="0" applyAlignment="0" applyProtection="0"/>
    <xf numFmtId="0" fontId="1" fillId="5" borderId="0" applyNumberFormat="0" applyBorder="0" applyAlignment="0" applyProtection="0"/>
    <xf numFmtId="0" fontId="12" fillId="6" borderId="6" applyNumberFormat="0" applyAlignment="0" applyProtection="0"/>
    <xf numFmtId="0" fontId="13" fillId="7" borderId="0" applyNumberFormat="0" applyBorder="0" applyAlignment="0" applyProtection="0"/>
  </cellStyleXfs>
  <cellXfs count="57">
    <xf numFmtId="0" fontId="0" fillId="0" borderId="0" xfId="0"/>
    <xf numFmtId="0" fontId="4" fillId="0" borderId="0" xfId="0" applyFont="1" applyAlignment="1">
      <alignment vertical="top" wrapText="1"/>
    </xf>
    <xf numFmtId="0" fontId="3" fillId="0" borderId="0" xfId="3" applyAlignment="1">
      <alignment vertical="top" wrapText="1"/>
    </xf>
    <xf numFmtId="0" fontId="2" fillId="2" borderId="1" xfId="1" applyAlignment="1">
      <alignment horizontal="center"/>
    </xf>
    <xf numFmtId="165" fontId="2" fillId="2" borderId="1" xfId="1" applyNumberFormat="1" applyAlignment="1">
      <alignment horizontal="center"/>
    </xf>
    <xf numFmtId="0" fontId="0" fillId="3" borderId="2" xfId="2" applyFont="1" applyAlignment="1">
      <alignment horizontal="center"/>
    </xf>
    <xf numFmtId="0" fontId="2" fillId="2" borderId="1" xfId="1" applyAlignment="1">
      <alignment horizontal="left"/>
    </xf>
    <xf numFmtId="0" fontId="2" fillId="2" borderId="4" xfId="1" applyBorder="1" applyAlignment="1">
      <alignment horizontal="left"/>
    </xf>
    <xf numFmtId="165" fontId="2" fillId="2" borderId="4" xfId="1" applyNumberFormat="1" applyBorder="1" applyAlignment="1">
      <alignment horizontal="center"/>
    </xf>
    <xf numFmtId="0" fontId="2" fillId="2" borderId="4" xfId="1" applyBorder="1" applyAlignment="1">
      <alignment horizontal="center"/>
    </xf>
    <xf numFmtId="0" fontId="0" fillId="3" borderId="5" xfId="2" applyFont="1" applyBorder="1" applyAlignment="1">
      <alignment horizontal="center"/>
    </xf>
    <xf numFmtId="0" fontId="4" fillId="0" borderId="3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center" vertical="top" wrapText="1"/>
    </xf>
    <xf numFmtId="0" fontId="3" fillId="0" borderId="3" xfId="3" applyBorder="1" applyAlignment="1">
      <alignment horizontal="left" vertical="top" wrapText="1"/>
    </xf>
    <xf numFmtId="0" fontId="3" fillId="0" borderId="3" xfId="3" applyBorder="1" applyAlignment="1">
      <alignment horizontal="center" vertical="top" wrapText="1"/>
    </xf>
    <xf numFmtId="0" fontId="2" fillId="2" borderId="1" xfId="1"/>
    <xf numFmtId="0" fontId="5" fillId="4" borderId="1" xfId="4"/>
    <xf numFmtId="164" fontId="2" fillId="2" borderId="1" xfId="1" applyNumberFormat="1" applyAlignment="1">
      <alignment horizontal="left"/>
    </xf>
    <xf numFmtId="166" fontId="4" fillId="0" borderId="3" xfId="0" applyNumberFormat="1" applyFont="1" applyBorder="1" applyAlignment="1">
      <alignment horizontal="left" vertical="top" wrapText="1"/>
    </xf>
    <xf numFmtId="166" fontId="3" fillId="0" borderId="3" xfId="3" applyNumberFormat="1" applyBorder="1" applyAlignment="1">
      <alignment horizontal="left" vertical="top" wrapText="1"/>
    </xf>
    <xf numFmtId="166" fontId="2" fillId="2" borderId="4" xfId="1" applyNumberFormat="1" applyBorder="1" applyAlignment="1">
      <alignment horizontal="left"/>
    </xf>
    <xf numFmtId="166" fontId="2" fillId="2" borderId="1" xfId="1" applyNumberFormat="1" applyAlignment="1">
      <alignment horizontal="left"/>
    </xf>
    <xf numFmtId="0" fontId="3" fillId="3" borderId="5" xfId="3" applyFill="1" applyBorder="1" applyAlignment="1">
      <alignment horizontal="center"/>
    </xf>
    <xf numFmtId="0" fontId="3" fillId="3" borderId="2" xfId="3" applyFill="1" applyBorder="1" applyAlignment="1">
      <alignment horizontal="center"/>
    </xf>
    <xf numFmtId="2" fontId="3" fillId="0" borderId="3" xfId="3" applyNumberFormat="1" applyBorder="1" applyAlignment="1">
      <alignment horizontal="center" vertical="top" wrapText="1"/>
    </xf>
    <xf numFmtId="2" fontId="3" fillId="3" borderId="2" xfId="3" applyNumberFormat="1" applyFill="1" applyBorder="1" applyAlignment="1">
      <alignment horizontal="center"/>
    </xf>
    <xf numFmtId="167" fontId="2" fillId="2" borderId="4" xfId="1" applyNumberFormat="1" applyBorder="1" applyAlignment="1">
      <alignment horizontal="center"/>
    </xf>
    <xf numFmtId="0" fontId="6" fillId="0" borderId="3" xfId="3" applyFont="1" applyBorder="1" applyAlignment="1">
      <alignment horizontal="center" vertical="top" wrapText="1"/>
    </xf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167" fontId="2" fillId="2" borderId="1" xfId="1" applyNumberFormat="1" applyAlignment="1">
      <alignment horizontal="center"/>
    </xf>
    <xf numFmtId="4" fontId="2" fillId="2" borderId="1" xfId="1" applyNumberFormat="1" applyAlignment="1">
      <alignment horizontal="center"/>
    </xf>
    <xf numFmtId="0" fontId="3" fillId="0" borderId="0" xfId="3"/>
    <xf numFmtId="0" fontId="9" fillId="0" borderId="0" xfId="3" applyFont="1" applyAlignment="1">
      <alignment vertical="top" wrapText="1"/>
    </xf>
    <xf numFmtId="0" fontId="10" fillId="0" borderId="0" xfId="0" applyFont="1"/>
    <xf numFmtId="0" fontId="9" fillId="0" borderId="0" xfId="3" applyFont="1" applyFill="1" applyBorder="1"/>
    <xf numFmtId="0" fontId="10" fillId="0" borderId="3" xfId="0" applyFont="1" applyBorder="1" applyAlignment="1">
      <alignment vertical="top" wrapText="1"/>
    </xf>
    <xf numFmtId="0" fontId="1" fillId="5" borderId="3" xfId="5" applyBorder="1" applyAlignment="1">
      <alignment horizontal="center" vertical="top" wrapText="1"/>
    </xf>
    <xf numFmtId="0" fontId="1" fillId="5" borderId="5" xfId="5" applyBorder="1" applyAlignment="1">
      <alignment horizontal="center"/>
    </xf>
    <xf numFmtId="0" fontId="1" fillId="5" borderId="2" xfId="5" applyBorder="1" applyAlignment="1">
      <alignment horizontal="center"/>
    </xf>
    <xf numFmtId="0" fontId="11" fillId="5" borderId="3" xfId="5" applyFont="1" applyBorder="1" applyAlignment="1">
      <alignment horizontal="center" vertical="top" wrapText="1"/>
    </xf>
    <xf numFmtId="0" fontId="4" fillId="5" borderId="3" xfId="5" applyFont="1" applyBorder="1" applyAlignment="1">
      <alignment horizontal="center" vertical="top" wrapText="1"/>
    </xf>
    <xf numFmtId="11" fontId="0" fillId="0" borderId="0" xfId="0" applyNumberFormat="1"/>
    <xf numFmtId="0" fontId="12" fillId="6" borderId="6" xfId="6"/>
    <xf numFmtId="0" fontId="13" fillId="7" borderId="0" xfId="7"/>
    <xf numFmtId="168" fontId="3" fillId="8" borderId="3" xfId="3" applyNumberFormat="1" applyFill="1" applyBorder="1" applyAlignment="1">
      <alignment horizontal="center" vertical="top" wrapText="1"/>
    </xf>
    <xf numFmtId="168" fontId="3" fillId="8" borderId="2" xfId="3" applyNumberFormat="1" applyFill="1" applyBorder="1" applyAlignment="1">
      <alignment horizontal="center"/>
    </xf>
    <xf numFmtId="169" fontId="3" fillId="0" borderId="3" xfId="3" applyNumberFormat="1" applyBorder="1" applyAlignment="1">
      <alignment horizontal="center" vertical="top" wrapText="1"/>
    </xf>
    <xf numFmtId="169" fontId="3" fillId="3" borderId="2" xfId="3" applyNumberFormat="1" applyFill="1" applyBorder="1" applyAlignment="1">
      <alignment horizontal="center"/>
    </xf>
    <xf numFmtId="0" fontId="0" fillId="0" borderId="7" xfId="0" applyBorder="1"/>
    <xf numFmtId="0" fontId="14" fillId="0" borderId="8" xfId="0" applyFont="1" applyBorder="1" applyAlignment="1">
      <alignment horizontal="center"/>
    </xf>
  </cellXfs>
  <cellStyles count="8">
    <cellStyle name="20% - Accent1" xfId="5" builtinId="30"/>
    <cellStyle name="Calculation" xfId="4" builtinId="22"/>
    <cellStyle name="Check Cell" xfId="6" builtinId="23"/>
    <cellStyle name="Explanatory Text" xfId="3" builtinId="53"/>
    <cellStyle name="Input" xfId="1" builtinId="20"/>
    <cellStyle name="Neutral" xfId="7" builtinId="2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Cameras!$S$10:$S$17</c:f>
              <c:numCache>
                <c:formatCode>General</c:formatCode>
                <c:ptCount val="8"/>
                <c:pt idx="0">
                  <c:v>-3.0066485410300645</c:v>
                </c:pt>
                <c:pt idx="1">
                  <c:v>-3.3010299956639813</c:v>
                </c:pt>
                <c:pt idx="2">
                  <c:v>-2.0066485410300645</c:v>
                </c:pt>
                <c:pt idx="3">
                  <c:v>-2.3010299956639813</c:v>
                </c:pt>
                <c:pt idx="4">
                  <c:v>-1.0066485410300645</c:v>
                </c:pt>
                <c:pt idx="5">
                  <c:v>-1.301029995663981</c:v>
                </c:pt>
                <c:pt idx="6">
                  <c:v>-6.6485410300645038E-3</c:v>
                </c:pt>
                <c:pt idx="7">
                  <c:v>-0.30102999566398109</c:v>
                </c:pt>
              </c:numCache>
            </c:numRef>
          </c:xVal>
          <c:yVal>
            <c:numRef>
              <c:f>Cameras!$U$10:$U$17</c:f>
              <c:numCache>
                <c:formatCode>General</c:formatCode>
                <c:ptCount val="8"/>
                <c:pt idx="0">
                  <c:v>40</c:v>
                </c:pt>
                <c:pt idx="1">
                  <c:v>60</c:v>
                </c:pt>
                <c:pt idx="2">
                  <c:v>15</c:v>
                </c:pt>
                <c:pt idx="3">
                  <c:v>20</c:v>
                </c:pt>
                <c:pt idx="4">
                  <c:v>10</c:v>
                </c:pt>
                <c:pt idx="5">
                  <c:v>20</c:v>
                </c:pt>
                <c:pt idx="6">
                  <c:v>4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DB-49AE-9C59-A76C6E3A8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210080"/>
        <c:axId val="542204832"/>
      </c:scatterChart>
      <c:valAx>
        <c:axId val="54221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04832"/>
        <c:crosses val="autoZero"/>
        <c:crossBetween val="midCat"/>
      </c:valAx>
      <c:valAx>
        <c:axId val="54220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1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51444610553193137"/>
                  <c:y val="7.9882214369846882E-2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Cameras!$M$33:$M$47</c:f>
              <c:numCache>
                <c:formatCode>General</c:formatCode>
                <c:ptCount val="15"/>
                <c:pt idx="12">
                  <c:v>4.108019495189943E-3</c:v>
                </c:pt>
                <c:pt idx="13">
                  <c:v>146.60101765433922</c:v>
                </c:pt>
                <c:pt idx="14">
                  <c:v>0.3586061780666242</c:v>
                </c:pt>
              </c:numCache>
            </c:numRef>
          </c:xVal>
          <c:yVal>
            <c:numRef>
              <c:f>Cameras!$P$33:$P$47</c:f>
              <c:numCache>
                <c:formatCode>General</c:formatCode>
                <c:ptCount val="15"/>
                <c:pt idx="0">
                  <c:v>6.1580999999999997E-3</c:v>
                </c:pt>
                <c:pt idx="1">
                  <c:v>1.9770800000000022E-3</c:v>
                </c:pt>
                <c:pt idx="2">
                  <c:v>2.7787100000000011E-3</c:v>
                </c:pt>
                <c:pt idx="3">
                  <c:v>1.7977579999999996E-2</c:v>
                </c:pt>
                <c:pt idx="4">
                  <c:v>2.8974700000000005E-3</c:v>
                </c:pt>
                <c:pt idx="5">
                  <c:v>1.0914719999999994E-2</c:v>
                </c:pt>
                <c:pt idx="6">
                  <c:v>1.086380000000002E-3</c:v>
                </c:pt>
                <c:pt idx="9">
                  <c:v>5.8698199999999952E-3</c:v>
                </c:pt>
                <c:pt idx="11">
                  <c:v>2.4224300000000023E-3</c:v>
                </c:pt>
                <c:pt idx="12">
                  <c:v>9.462806E-2</c:v>
                </c:pt>
                <c:pt idx="13">
                  <c:v>0.27079999999999999</c:v>
                </c:pt>
                <c:pt idx="14">
                  <c:v>0.14530000000000001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D1-4EB1-83F7-08E76C4F2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123496"/>
        <c:axId val="643128416"/>
      </c:scatterChart>
      <c:valAx>
        <c:axId val="6431234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8416"/>
        <c:crosses val="autoZero"/>
        <c:crossBetween val="midCat"/>
      </c:valAx>
      <c:valAx>
        <c:axId val="6431284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3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Cameras!$Y$39:$Y$59</c:f>
              <c:numCache>
                <c:formatCode>General</c:formatCode>
                <c:ptCount val="21"/>
              </c:numCache>
            </c:numRef>
          </c:xVal>
          <c:yVal>
            <c:numRef>
              <c:f>Cameras!$W$39:$W$59</c:f>
              <c:numCache>
                <c:formatCode>General</c:formatCode>
                <c:ptCount val="21"/>
                <c:pt idx="0">
                  <c:v>1.347</c:v>
                </c:pt>
                <c:pt idx="1">
                  <c:v>1.2250000000000001</c:v>
                </c:pt>
                <c:pt idx="2">
                  <c:v>1.1120000000000001</c:v>
                </c:pt>
                <c:pt idx="3">
                  <c:v>1.0069999999999999</c:v>
                </c:pt>
                <c:pt idx="4">
                  <c:v>0.9093</c:v>
                </c:pt>
                <c:pt idx="5">
                  <c:v>0.81940000000000002</c:v>
                </c:pt>
                <c:pt idx="6">
                  <c:v>0.73640000000000005</c:v>
                </c:pt>
                <c:pt idx="7">
                  <c:v>0.66010000000000002</c:v>
                </c:pt>
                <c:pt idx="8">
                  <c:v>0.59</c:v>
                </c:pt>
                <c:pt idx="9">
                  <c:v>0.52580000000000005</c:v>
                </c:pt>
                <c:pt idx="10">
                  <c:v>0.46710000000000002</c:v>
                </c:pt>
                <c:pt idx="11">
                  <c:v>0.41349999999999998</c:v>
                </c:pt>
                <c:pt idx="12">
                  <c:v>0.1948</c:v>
                </c:pt>
                <c:pt idx="13">
                  <c:v>8.8910000000000003E-2</c:v>
                </c:pt>
                <c:pt idx="14">
                  <c:v>4.0079999999999998E-2</c:v>
                </c:pt>
                <c:pt idx="15">
                  <c:v>1.8409999999999999E-2</c:v>
                </c:pt>
                <c:pt idx="16">
                  <c:v>3.9960000000000004E-3</c:v>
                </c:pt>
                <c:pt idx="17">
                  <c:v>1.0269999999999999E-3</c:v>
                </c:pt>
                <c:pt idx="18">
                  <c:v>3.0969999999999999E-4</c:v>
                </c:pt>
                <c:pt idx="19">
                  <c:v>8.2830000000000005E-5</c:v>
                </c:pt>
                <c:pt idx="20">
                  <c:v>1.8459999999999999E-5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06-4E70-800B-D814671DE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127104"/>
        <c:axId val="643122840"/>
      </c:scatterChart>
      <c:valAx>
        <c:axId val="64312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2840"/>
        <c:crosses val="autoZero"/>
        <c:crossBetween val="midCat"/>
      </c:valAx>
      <c:valAx>
        <c:axId val="64312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2.8083989501312336E-4"/>
                  <c:y val="-0.207484689413823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Cameras!$L$88:$L$97</c:f>
              <c:numCache>
                <c:formatCode>General</c:formatCode>
                <c:ptCount val="10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600</c:v>
                </c:pt>
              </c:numCache>
            </c:numRef>
          </c:xVal>
          <c:yVal>
            <c:numRef>
              <c:f>Cameras!$M$88:$M$97</c:f>
              <c:numCache>
                <c:formatCode>General</c:formatCode>
                <c:ptCount val="1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40</c:v>
                </c:pt>
                <c:pt idx="4">
                  <c:v>30</c:v>
                </c:pt>
                <c:pt idx="5">
                  <c:v>20</c:v>
                </c:pt>
                <c:pt idx="6">
                  <c:v>10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63-48B8-87B7-8D324020E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863296"/>
        <c:axId val="693864016"/>
      </c:scatterChart>
      <c:valAx>
        <c:axId val="69386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864016"/>
        <c:crosses val="autoZero"/>
        <c:crossBetween val="midCat"/>
      </c:valAx>
      <c:valAx>
        <c:axId val="69386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86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Cameras!$L$72:$L$82</c:f>
              <c:numCache>
                <c:formatCode>General</c:formatCode>
                <c:ptCount val="11"/>
                <c:pt idx="0">
                  <c:v>-90</c:v>
                </c:pt>
                <c:pt idx="1">
                  <c:v>-10</c:v>
                </c:pt>
                <c:pt idx="2">
                  <c:v>0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75</c:v>
                </c:pt>
                <c:pt idx="7">
                  <c:v>90</c:v>
                </c:pt>
                <c:pt idx="8">
                  <c:v>100</c:v>
                </c:pt>
                <c:pt idx="9">
                  <c:v>105</c:v>
                </c:pt>
                <c:pt idx="10">
                  <c:v>150</c:v>
                </c:pt>
              </c:numCache>
            </c:numRef>
          </c:xVal>
          <c:yVal>
            <c:numRef>
              <c:f>Cameras!$M$72:$M$82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  <c:pt idx="8">
                  <c:v>0.1</c:v>
                </c:pt>
                <c:pt idx="9">
                  <c:v>0.05</c:v>
                </c:pt>
                <c:pt idx="10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D7-4ECF-AF48-88C57E3CDB2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Cameras!$L$72:$L$82</c:f>
              <c:numCache>
                <c:formatCode>General</c:formatCode>
                <c:ptCount val="11"/>
                <c:pt idx="0">
                  <c:v>-90</c:v>
                </c:pt>
                <c:pt idx="1">
                  <c:v>-10</c:v>
                </c:pt>
                <c:pt idx="2">
                  <c:v>0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75</c:v>
                </c:pt>
                <c:pt idx="7">
                  <c:v>90</c:v>
                </c:pt>
                <c:pt idx="8">
                  <c:v>100</c:v>
                </c:pt>
                <c:pt idx="9">
                  <c:v>105</c:v>
                </c:pt>
                <c:pt idx="10">
                  <c:v>150</c:v>
                </c:pt>
              </c:numCache>
            </c:numRef>
          </c:xVal>
          <c:yVal>
            <c:numRef>
              <c:f>Cameras!$N$72:$N$82</c:f>
              <c:numCache>
                <c:formatCode>General</c:formatCode>
                <c:ptCount val="11"/>
                <c:pt idx="0">
                  <c:v>0.23976865530898347</c:v>
                </c:pt>
                <c:pt idx="1">
                  <c:v>0.4823574048311623</c:v>
                </c:pt>
                <c:pt idx="2">
                  <c:v>0.55219342695815843</c:v>
                </c:pt>
                <c:pt idx="3">
                  <c:v>0.64567462332825465</c:v>
                </c:pt>
                <c:pt idx="4">
                  <c:v>0.86544134331744949</c:v>
                </c:pt>
                <c:pt idx="5">
                  <c:v>2</c:v>
                </c:pt>
                <c:pt idx="6">
                  <c:v>0.86544134331744949</c:v>
                </c:pt>
                <c:pt idx="7">
                  <c:v>0.64567462332825465</c:v>
                </c:pt>
                <c:pt idx="8">
                  <c:v>0.55219342695815843</c:v>
                </c:pt>
                <c:pt idx="9">
                  <c:v>0.51491832050762798</c:v>
                </c:pt>
                <c:pt idx="10">
                  <c:v>0.32031578063324095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D7-4ECF-AF48-88C57E3CD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468672"/>
        <c:axId val="688478392"/>
      </c:scatterChart>
      <c:valAx>
        <c:axId val="68846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78392"/>
        <c:crosses val="autoZero"/>
        <c:crossBetween val="midCat"/>
      </c:valAx>
      <c:valAx>
        <c:axId val="68847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6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Cameras!$I$105:$I$465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Cameras!$J$105:$J$465</c:f>
              <c:numCache>
                <c:formatCode>General</c:formatCode>
                <c:ptCount val="361"/>
                <c:pt idx="0">
                  <c:v>2</c:v>
                </c:pt>
                <c:pt idx="1">
                  <c:v>1.9993908270190959</c:v>
                </c:pt>
                <c:pt idx="2">
                  <c:v>1.9975640502598242</c:v>
                </c:pt>
                <c:pt idx="3">
                  <c:v>1.9945218953682733</c:v>
                </c:pt>
                <c:pt idx="4">
                  <c:v>1.9902680687415704</c:v>
                </c:pt>
                <c:pt idx="5">
                  <c:v>1.9848077530122081</c:v>
                </c:pt>
                <c:pt idx="6">
                  <c:v>1.9781476007338057</c:v>
                </c:pt>
                <c:pt idx="7">
                  <c:v>1.9702957262759964</c:v>
                </c:pt>
                <c:pt idx="8">
                  <c:v>1.9612616959383189</c:v>
                </c:pt>
                <c:pt idx="9">
                  <c:v>1.9510565162951536</c:v>
                </c:pt>
                <c:pt idx="10">
                  <c:v>1.9396926207859084</c:v>
                </c:pt>
                <c:pt idx="11">
                  <c:v>1.9271838545667874</c:v>
                </c:pt>
                <c:pt idx="12">
                  <c:v>1.9135454576426008</c:v>
                </c:pt>
                <c:pt idx="13">
                  <c:v>1.898794046299167</c:v>
                </c:pt>
                <c:pt idx="14">
                  <c:v>1.882947592858927</c:v>
                </c:pt>
                <c:pt idx="15">
                  <c:v>1.8660254037844388</c:v>
                </c:pt>
                <c:pt idx="16">
                  <c:v>1.8480480961564258</c:v>
                </c:pt>
                <c:pt idx="17">
                  <c:v>1.8290375725550416</c:v>
                </c:pt>
                <c:pt idx="18">
                  <c:v>1.8090169943749475</c:v>
                </c:pt>
                <c:pt idx="19">
                  <c:v>1.7880107536067218</c:v>
                </c:pt>
                <c:pt idx="20">
                  <c:v>1.7660444431189779</c:v>
                </c:pt>
                <c:pt idx="21">
                  <c:v>1.7431448254773942</c:v>
                </c:pt>
                <c:pt idx="22">
                  <c:v>1.7193398003386511</c:v>
                </c:pt>
                <c:pt idx="23">
                  <c:v>1.6946583704589973</c:v>
                </c:pt>
                <c:pt idx="24">
                  <c:v>1.6691306063588582</c:v>
                </c:pt>
                <c:pt idx="25">
                  <c:v>1.6427876096865393</c:v>
                </c:pt>
                <c:pt idx="26">
                  <c:v>1.6156614753256582</c:v>
                </c:pt>
                <c:pt idx="27">
                  <c:v>1.5877852522924731</c:v>
                </c:pt>
                <c:pt idx="28">
                  <c:v>1.5591929034707468</c:v>
                </c:pt>
                <c:pt idx="29">
                  <c:v>1.5299192642332049</c:v>
                </c:pt>
                <c:pt idx="30">
                  <c:v>1.5</c:v>
                </c:pt>
                <c:pt idx="31">
                  <c:v>1.4694715627858908</c:v>
                </c:pt>
                <c:pt idx="32">
                  <c:v>1.4383711467890774</c:v>
                </c:pt>
                <c:pt idx="33">
                  <c:v>1.4067366430758002</c:v>
                </c:pt>
                <c:pt idx="34">
                  <c:v>1.374606593415912</c:v>
                </c:pt>
                <c:pt idx="35">
                  <c:v>1.3420201433256689</c:v>
                </c:pt>
                <c:pt idx="36">
                  <c:v>1.3090169943749475</c:v>
                </c:pt>
                <c:pt idx="37">
                  <c:v>1.2756373558169991</c:v>
                </c:pt>
                <c:pt idx="38">
                  <c:v>1.2419218955996676</c:v>
                </c:pt>
                <c:pt idx="39">
                  <c:v>1.2079116908177594</c:v>
                </c:pt>
                <c:pt idx="40">
                  <c:v>1.1736481776669305</c:v>
                </c:pt>
                <c:pt idx="41">
                  <c:v>1.1391731009600654</c:v>
                </c:pt>
                <c:pt idx="42">
                  <c:v>1.1045284632676535</c:v>
                </c:pt>
                <c:pt idx="43">
                  <c:v>1.0697564737441252</c:v>
                </c:pt>
                <c:pt idx="44">
                  <c:v>1.0348994967025011</c:v>
                </c:pt>
                <c:pt idx="45">
                  <c:v>1</c:v>
                </c:pt>
                <c:pt idx="46">
                  <c:v>1.0348994967025009</c:v>
                </c:pt>
                <c:pt idx="47">
                  <c:v>1.0697564737441254</c:v>
                </c:pt>
                <c:pt idx="48">
                  <c:v>1.1045284632676535</c:v>
                </c:pt>
                <c:pt idx="49">
                  <c:v>1.1391731009600654</c:v>
                </c:pt>
                <c:pt idx="50">
                  <c:v>1.1736481776669303</c:v>
                </c:pt>
                <c:pt idx="51">
                  <c:v>1.2079116908177594</c:v>
                </c:pt>
                <c:pt idx="52">
                  <c:v>1.2419218955996678</c:v>
                </c:pt>
                <c:pt idx="53">
                  <c:v>1.2756373558169991</c:v>
                </c:pt>
                <c:pt idx="54">
                  <c:v>1.3090169943749475</c:v>
                </c:pt>
                <c:pt idx="55">
                  <c:v>1.3420201433256687</c:v>
                </c:pt>
                <c:pt idx="56">
                  <c:v>1.374606593415912</c:v>
                </c:pt>
                <c:pt idx="57">
                  <c:v>1.4067366430758002</c:v>
                </c:pt>
                <c:pt idx="58">
                  <c:v>1.4383711467890774</c:v>
                </c:pt>
                <c:pt idx="59">
                  <c:v>1.469471562785891</c:v>
                </c:pt>
                <c:pt idx="60">
                  <c:v>1.4999999999999998</c:v>
                </c:pt>
                <c:pt idx="61">
                  <c:v>1.5299192642332047</c:v>
                </c:pt>
                <c:pt idx="62">
                  <c:v>1.5591929034707466</c:v>
                </c:pt>
                <c:pt idx="63">
                  <c:v>1.5877852522924729</c:v>
                </c:pt>
                <c:pt idx="64">
                  <c:v>1.6156614753256582</c:v>
                </c:pt>
                <c:pt idx="65">
                  <c:v>1.6427876096865393</c:v>
                </c:pt>
                <c:pt idx="66">
                  <c:v>1.6691306063588582</c:v>
                </c:pt>
                <c:pt idx="67">
                  <c:v>1.6946583704589973</c:v>
                </c:pt>
                <c:pt idx="68">
                  <c:v>1.7193398003386511</c:v>
                </c:pt>
                <c:pt idx="69">
                  <c:v>1.743144825477394</c:v>
                </c:pt>
                <c:pt idx="70">
                  <c:v>1.7660444431189779</c:v>
                </c:pt>
                <c:pt idx="71">
                  <c:v>1.7880107536067218</c:v>
                </c:pt>
                <c:pt idx="72">
                  <c:v>1.8090169943749475</c:v>
                </c:pt>
                <c:pt idx="73">
                  <c:v>1.8290375725550416</c:v>
                </c:pt>
                <c:pt idx="74">
                  <c:v>1.8480480961564258</c:v>
                </c:pt>
                <c:pt idx="75">
                  <c:v>1.8660254037844388</c:v>
                </c:pt>
                <c:pt idx="76">
                  <c:v>1.882947592858927</c:v>
                </c:pt>
                <c:pt idx="77">
                  <c:v>1.898794046299167</c:v>
                </c:pt>
                <c:pt idx="78">
                  <c:v>1.9135454576426008</c:v>
                </c:pt>
                <c:pt idx="79">
                  <c:v>1.9271838545667874</c:v>
                </c:pt>
                <c:pt idx="80">
                  <c:v>1.9396926207859084</c:v>
                </c:pt>
                <c:pt idx="81">
                  <c:v>1.9510565162951536</c:v>
                </c:pt>
                <c:pt idx="82">
                  <c:v>1.9612616959383189</c:v>
                </c:pt>
                <c:pt idx="83">
                  <c:v>1.9702957262759964</c:v>
                </c:pt>
                <c:pt idx="84">
                  <c:v>1.9781476007338057</c:v>
                </c:pt>
                <c:pt idx="85">
                  <c:v>1.9848077530122081</c:v>
                </c:pt>
                <c:pt idx="86">
                  <c:v>1.9902680687415704</c:v>
                </c:pt>
                <c:pt idx="87">
                  <c:v>1.9945218953682733</c:v>
                </c:pt>
                <c:pt idx="88">
                  <c:v>1.9975640502598242</c:v>
                </c:pt>
                <c:pt idx="89">
                  <c:v>1.9993908270190959</c:v>
                </c:pt>
                <c:pt idx="90">
                  <c:v>2</c:v>
                </c:pt>
                <c:pt idx="91">
                  <c:v>1.9993908270190959</c:v>
                </c:pt>
                <c:pt idx="92">
                  <c:v>1.9975640502598242</c:v>
                </c:pt>
                <c:pt idx="93">
                  <c:v>1.9945218953682733</c:v>
                </c:pt>
                <c:pt idx="94">
                  <c:v>1.9902680687415701</c:v>
                </c:pt>
                <c:pt idx="95">
                  <c:v>1.9848077530122081</c:v>
                </c:pt>
                <c:pt idx="96">
                  <c:v>1.9781476007338057</c:v>
                </c:pt>
                <c:pt idx="97">
                  <c:v>1.9702957262759964</c:v>
                </c:pt>
                <c:pt idx="98">
                  <c:v>1.9612616959383189</c:v>
                </c:pt>
                <c:pt idx="99">
                  <c:v>1.9510565162951536</c:v>
                </c:pt>
                <c:pt idx="100">
                  <c:v>1.9396926207859084</c:v>
                </c:pt>
                <c:pt idx="101">
                  <c:v>1.9271838545667874</c:v>
                </c:pt>
                <c:pt idx="102">
                  <c:v>1.9135454576426008</c:v>
                </c:pt>
                <c:pt idx="103">
                  <c:v>1.8987940462991668</c:v>
                </c:pt>
                <c:pt idx="104">
                  <c:v>1.882947592858927</c:v>
                </c:pt>
                <c:pt idx="105">
                  <c:v>1.8660254037844386</c:v>
                </c:pt>
                <c:pt idx="106">
                  <c:v>1.8480480961564261</c:v>
                </c:pt>
                <c:pt idx="107">
                  <c:v>1.8290375725550418</c:v>
                </c:pt>
                <c:pt idx="108">
                  <c:v>1.8090169943749475</c:v>
                </c:pt>
                <c:pt idx="109">
                  <c:v>1.788010753606722</c:v>
                </c:pt>
                <c:pt idx="110">
                  <c:v>1.7660444431189779</c:v>
                </c:pt>
                <c:pt idx="111">
                  <c:v>1.7431448254773942</c:v>
                </c:pt>
                <c:pt idx="112">
                  <c:v>1.7193398003386511</c:v>
                </c:pt>
                <c:pt idx="113">
                  <c:v>1.6946583704589973</c:v>
                </c:pt>
                <c:pt idx="114">
                  <c:v>1.6691306063588582</c:v>
                </c:pt>
                <c:pt idx="115">
                  <c:v>1.6427876096865395</c:v>
                </c:pt>
                <c:pt idx="116">
                  <c:v>1.6156614753256582</c:v>
                </c:pt>
                <c:pt idx="117">
                  <c:v>1.5877852522924734</c:v>
                </c:pt>
                <c:pt idx="118">
                  <c:v>1.5591929034707466</c:v>
                </c:pt>
                <c:pt idx="119">
                  <c:v>1.5299192642332051</c:v>
                </c:pt>
                <c:pt idx="120">
                  <c:v>1.5000000000000004</c:v>
                </c:pt>
                <c:pt idx="121">
                  <c:v>1.4694715627858908</c:v>
                </c:pt>
                <c:pt idx="122">
                  <c:v>1.4383711467890778</c:v>
                </c:pt>
                <c:pt idx="123">
                  <c:v>1.4067366430758002</c:v>
                </c:pt>
                <c:pt idx="124">
                  <c:v>1.3746065934159124</c:v>
                </c:pt>
                <c:pt idx="125">
                  <c:v>1.3420201433256684</c:v>
                </c:pt>
                <c:pt idx="126">
                  <c:v>1.3090169943749475</c:v>
                </c:pt>
                <c:pt idx="127">
                  <c:v>1.2756373558169989</c:v>
                </c:pt>
                <c:pt idx="128">
                  <c:v>1.2419218955996678</c:v>
                </c:pt>
                <c:pt idx="129">
                  <c:v>1.2079116908177598</c:v>
                </c:pt>
                <c:pt idx="130">
                  <c:v>1.1736481776669303</c:v>
                </c:pt>
                <c:pt idx="131">
                  <c:v>1.1391731009600659</c:v>
                </c:pt>
                <c:pt idx="132">
                  <c:v>1.1045284632676533</c:v>
                </c:pt>
                <c:pt idx="133">
                  <c:v>1.0697564737441256</c:v>
                </c:pt>
                <c:pt idx="134">
                  <c:v>1.0348994967025007</c:v>
                </c:pt>
                <c:pt idx="135">
                  <c:v>1.0000000000000002</c:v>
                </c:pt>
                <c:pt idx="136">
                  <c:v>1.0348994967025014</c:v>
                </c:pt>
                <c:pt idx="137">
                  <c:v>1.0697564737441252</c:v>
                </c:pt>
                <c:pt idx="138">
                  <c:v>1.1045284632676531</c:v>
                </c:pt>
                <c:pt idx="139">
                  <c:v>1.1391731009600654</c:v>
                </c:pt>
                <c:pt idx="140">
                  <c:v>1.1736481776669301</c:v>
                </c:pt>
                <c:pt idx="141">
                  <c:v>1.2079116908177594</c:v>
                </c:pt>
                <c:pt idx="142">
                  <c:v>1.2419218955996674</c:v>
                </c:pt>
                <c:pt idx="143">
                  <c:v>1.2756373558169993</c:v>
                </c:pt>
                <c:pt idx="144">
                  <c:v>1.3090169943749472</c:v>
                </c:pt>
                <c:pt idx="145">
                  <c:v>1.3420201433256689</c:v>
                </c:pt>
                <c:pt idx="146">
                  <c:v>1.374606593415912</c:v>
                </c:pt>
                <c:pt idx="147">
                  <c:v>1.4067366430757997</c:v>
                </c:pt>
                <c:pt idx="148">
                  <c:v>1.4383711467890774</c:v>
                </c:pt>
                <c:pt idx="149">
                  <c:v>1.4694715627858903</c:v>
                </c:pt>
                <c:pt idx="150">
                  <c:v>1.5</c:v>
                </c:pt>
                <c:pt idx="151">
                  <c:v>1.5299192642332047</c:v>
                </c:pt>
                <c:pt idx="152">
                  <c:v>1.559192903470747</c:v>
                </c:pt>
                <c:pt idx="153">
                  <c:v>1.5877852522924729</c:v>
                </c:pt>
                <c:pt idx="154">
                  <c:v>1.6156614753256586</c:v>
                </c:pt>
                <c:pt idx="155">
                  <c:v>1.6427876096865393</c:v>
                </c:pt>
                <c:pt idx="156">
                  <c:v>1.6691306063588578</c:v>
                </c:pt>
                <c:pt idx="157">
                  <c:v>1.6946583704589973</c:v>
                </c:pt>
                <c:pt idx="158">
                  <c:v>1.7193398003386509</c:v>
                </c:pt>
                <c:pt idx="159">
                  <c:v>1.7431448254773942</c:v>
                </c:pt>
                <c:pt idx="160">
                  <c:v>1.7660444431189779</c:v>
                </c:pt>
                <c:pt idx="161">
                  <c:v>1.788010753606722</c:v>
                </c:pt>
                <c:pt idx="162">
                  <c:v>1.8090169943749475</c:v>
                </c:pt>
                <c:pt idx="163">
                  <c:v>1.8290375725550418</c:v>
                </c:pt>
                <c:pt idx="164">
                  <c:v>1.8480480961564258</c:v>
                </c:pt>
                <c:pt idx="165">
                  <c:v>1.8660254037844384</c:v>
                </c:pt>
                <c:pt idx="166">
                  <c:v>1.882947592858927</c:v>
                </c:pt>
                <c:pt idx="167">
                  <c:v>1.8987940462991668</c:v>
                </c:pt>
                <c:pt idx="168">
                  <c:v>1.913545457642601</c:v>
                </c:pt>
                <c:pt idx="169">
                  <c:v>1.9271838545667874</c:v>
                </c:pt>
                <c:pt idx="170">
                  <c:v>1.9396926207859084</c:v>
                </c:pt>
                <c:pt idx="171">
                  <c:v>1.9510565162951536</c:v>
                </c:pt>
                <c:pt idx="172">
                  <c:v>1.9612616959383189</c:v>
                </c:pt>
                <c:pt idx="173">
                  <c:v>1.9702957262759964</c:v>
                </c:pt>
                <c:pt idx="174">
                  <c:v>1.9781476007338057</c:v>
                </c:pt>
                <c:pt idx="175">
                  <c:v>1.9848077530122081</c:v>
                </c:pt>
                <c:pt idx="176">
                  <c:v>1.9902680687415701</c:v>
                </c:pt>
                <c:pt idx="177">
                  <c:v>1.9945218953682733</c:v>
                </c:pt>
                <c:pt idx="178">
                  <c:v>1.9975640502598242</c:v>
                </c:pt>
                <c:pt idx="179">
                  <c:v>1.9993908270190959</c:v>
                </c:pt>
                <c:pt idx="180">
                  <c:v>2</c:v>
                </c:pt>
                <c:pt idx="181">
                  <c:v>1.9993908270190959</c:v>
                </c:pt>
                <c:pt idx="182">
                  <c:v>1.9975640502598244</c:v>
                </c:pt>
                <c:pt idx="183">
                  <c:v>1.9945218953682735</c:v>
                </c:pt>
                <c:pt idx="184">
                  <c:v>1.9902680687415704</c:v>
                </c:pt>
                <c:pt idx="185">
                  <c:v>1.9848077530122081</c:v>
                </c:pt>
                <c:pt idx="186">
                  <c:v>1.9781476007338057</c:v>
                </c:pt>
                <c:pt idx="187">
                  <c:v>1.9702957262759966</c:v>
                </c:pt>
                <c:pt idx="188">
                  <c:v>1.9612616959383189</c:v>
                </c:pt>
                <c:pt idx="189">
                  <c:v>1.9510565162951536</c:v>
                </c:pt>
                <c:pt idx="190">
                  <c:v>1.9396926207859084</c:v>
                </c:pt>
                <c:pt idx="191">
                  <c:v>1.9271838545667874</c:v>
                </c:pt>
                <c:pt idx="192">
                  <c:v>1.9135454576426008</c:v>
                </c:pt>
                <c:pt idx="193">
                  <c:v>1.898794046299167</c:v>
                </c:pt>
                <c:pt idx="194">
                  <c:v>1.8829475928589272</c:v>
                </c:pt>
                <c:pt idx="195">
                  <c:v>1.8660254037844386</c:v>
                </c:pt>
                <c:pt idx="196">
                  <c:v>1.8480480961564263</c:v>
                </c:pt>
                <c:pt idx="197">
                  <c:v>1.8290375725550416</c:v>
                </c:pt>
                <c:pt idx="198">
                  <c:v>1.8090169943749475</c:v>
                </c:pt>
                <c:pt idx="199">
                  <c:v>1.7880107536067218</c:v>
                </c:pt>
                <c:pt idx="200">
                  <c:v>1.7660444431189781</c:v>
                </c:pt>
                <c:pt idx="201">
                  <c:v>1.743144825477394</c:v>
                </c:pt>
                <c:pt idx="202">
                  <c:v>1.7193398003386511</c:v>
                </c:pt>
                <c:pt idx="203">
                  <c:v>1.6946583704589977</c:v>
                </c:pt>
                <c:pt idx="204">
                  <c:v>1.6691306063588582</c:v>
                </c:pt>
                <c:pt idx="205">
                  <c:v>1.6427876096865397</c:v>
                </c:pt>
                <c:pt idx="206">
                  <c:v>1.6156614753256582</c:v>
                </c:pt>
                <c:pt idx="207">
                  <c:v>1.5877852522924734</c:v>
                </c:pt>
                <c:pt idx="208">
                  <c:v>1.5591929034707466</c:v>
                </c:pt>
                <c:pt idx="209">
                  <c:v>1.5299192642332051</c:v>
                </c:pt>
                <c:pt idx="210">
                  <c:v>1.4999999999999998</c:v>
                </c:pt>
                <c:pt idx="211">
                  <c:v>1.4694715627858908</c:v>
                </c:pt>
                <c:pt idx="212">
                  <c:v>1.4383711467890778</c:v>
                </c:pt>
                <c:pt idx="213">
                  <c:v>1.4067366430758002</c:v>
                </c:pt>
                <c:pt idx="214">
                  <c:v>1.3746065934159124</c:v>
                </c:pt>
                <c:pt idx="215">
                  <c:v>1.3420201433256687</c:v>
                </c:pt>
                <c:pt idx="216">
                  <c:v>1.3090169943749477</c:v>
                </c:pt>
                <c:pt idx="217">
                  <c:v>1.2756373558169991</c:v>
                </c:pt>
                <c:pt idx="218">
                  <c:v>1.2419218955996678</c:v>
                </c:pt>
                <c:pt idx="219">
                  <c:v>1.207911690817759</c:v>
                </c:pt>
                <c:pt idx="220">
                  <c:v>1.1736481776669305</c:v>
                </c:pt>
                <c:pt idx="221">
                  <c:v>1.1391731009600659</c:v>
                </c:pt>
                <c:pt idx="222">
                  <c:v>1.1045284632676535</c:v>
                </c:pt>
                <c:pt idx="223">
                  <c:v>1.0697564737441256</c:v>
                </c:pt>
                <c:pt idx="224">
                  <c:v>1.0348994967025009</c:v>
                </c:pt>
                <c:pt idx="225">
                  <c:v>1.0000000000000002</c:v>
                </c:pt>
                <c:pt idx="226">
                  <c:v>1.0348994967025011</c:v>
                </c:pt>
                <c:pt idx="227">
                  <c:v>1.0697564737441252</c:v>
                </c:pt>
                <c:pt idx="228">
                  <c:v>1.1045284632676537</c:v>
                </c:pt>
                <c:pt idx="229">
                  <c:v>1.1391731009600654</c:v>
                </c:pt>
                <c:pt idx="230">
                  <c:v>1.1736481776669299</c:v>
                </c:pt>
                <c:pt idx="231">
                  <c:v>1.2079116908177585</c:v>
                </c:pt>
                <c:pt idx="232">
                  <c:v>1.2419218955996683</c:v>
                </c:pt>
                <c:pt idx="233">
                  <c:v>1.2756373558169993</c:v>
                </c:pt>
                <c:pt idx="234">
                  <c:v>1.309016994374947</c:v>
                </c:pt>
                <c:pt idx="235">
                  <c:v>1.342020143325668</c:v>
                </c:pt>
                <c:pt idx="236">
                  <c:v>1.3746065934159126</c:v>
                </c:pt>
                <c:pt idx="237">
                  <c:v>1.4067366430758004</c:v>
                </c:pt>
                <c:pt idx="238">
                  <c:v>1.4383711467890774</c:v>
                </c:pt>
                <c:pt idx="239">
                  <c:v>1.4694715627858903</c:v>
                </c:pt>
                <c:pt idx="240">
                  <c:v>1.4999999999999991</c:v>
                </c:pt>
                <c:pt idx="241">
                  <c:v>1.5299192642332053</c:v>
                </c:pt>
                <c:pt idx="242">
                  <c:v>1.559192903470747</c:v>
                </c:pt>
                <c:pt idx="243">
                  <c:v>1.5877852522924729</c:v>
                </c:pt>
                <c:pt idx="244">
                  <c:v>1.6156614753256577</c:v>
                </c:pt>
                <c:pt idx="245">
                  <c:v>1.6427876096865397</c:v>
                </c:pt>
                <c:pt idx="246">
                  <c:v>1.6691306063588585</c:v>
                </c:pt>
                <c:pt idx="247">
                  <c:v>1.6946583704589973</c:v>
                </c:pt>
                <c:pt idx="248">
                  <c:v>1.7193398003386506</c:v>
                </c:pt>
                <c:pt idx="249">
                  <c:v>1.7431448254773936</c:v>
                </c:pt>
                <c:pt idx="250">
                  <c:v>1.7660444431189783</c:v>
                </c:pt>
                <c:pt idx="251">
                  <c:v>1.788010753606722</c:v>
                </c:pt>
                <c:pt idx="252">
                  <c:v>1.8090169943749472</c:v>
                </c:pt>
                <c:pt idx="253">
                  <c:v>1.8290375725550412</c:v>
                </c:pt>
                <c:pt idx="254">
                  <c:v>1.8480480961564263</c:v>
                </c:pt>
                <c:pt idx="255">
                  <c:v>1.8660254037844388</c:v>
                </c:pt>
                <c:pt idx="256">
                  <c:v>1.882947592858927</c:v>
                </c:pt>
                <c:pt idx="257">
                  <c:v>1.8987940462991668</c:v>
                </c:pt>
                <c:pt idx="258">
                  <c:v>1.9135454576426005</c:v>
                </c:pt>
                <c:pt idx="259">
                  <c:v>1.9271838545667874</c:v>
                </c:pt>
                <c:pt idx="260">
                  <c:v>1.9396926207859084</c:v>
                </c:pt>
                <c:pt idx="261">
                  <c:v>1.9510565162951534</c:v>
                </c:pt>
                <c:pt idx="262">
                  <c:v>1.9612616959383187</c:v>
                </c:pt>
                <c:pt idx="263">
                  <c:v>1.9702957262759966</c:v>
                </c:pt>
                <c:pt idx="264">
                  <c:v>1.9781476007338057</c:v>
                </c:pt>
                <c:pt idx="265">
                  <c:v>1.9848077530122081</c:v>
                </c:pt>
                <c:pt idx="266">
                  <c:v>1.9902680687415701</c:v>
                </c:pt>
                <c:pt idx="267">
                  <c:v>1.9945218953682733</c:v>
                </c:pt>
                <c:pt idx="268">
                  <c:v>1.9975640502598244</c:v>
                </c:pt>
                <c:pt idx="269">
                  <c:v>1.9993908270190959</c:v>
                </c:pt>
                <c:pt idx="270">
                  <c:v>2</c:v>
                </c:pt>
                <c:pt idx="271">
                  <c:v>1.9993908270190959</c:v>
                </c:pt>
                <c:pt idx="272">
                  <c:v>1.9975640502598242</c:v>
                </c:pt>
                <c:pt idx="273">
                  <c:v>1.9945218953682733</c:v>
                </c:pt>
                <c:pt idx="274">
                  <c:v>1.9902680687415704</c:v>
                </c:pt>
                <c:pt idx="275">
                  <c:v>1.9848077530122081</c:v>
                </c:pt>
                <c:pt idx="276">
                  <c:v>1.9781476007338057</c:v>
                </c:pt>
                <c:pt idx="277">
                  <c:v>1.9702957262759964</c:v>
                </c:pt>
                <c:pt idx="278">
                  <c:v>1.9612616959383189</c:v>
                </c:pt>
                <c:pt idx="279">
                  <c:v>1.9510565162951536</c:v>
                </c:pt>
                <c:pt idx="280">
                  <c:v>1.9396926207859086</c:v>
                </c:pt>
                <c:pt idx="281">
                  <c:v>1.9271838545667872</c:v>
                </c:pt>
                <c:pt idx="282">
                  <c:v>1.9135454576426008</c:v>
                </c:pt>
                <c:pt idx="283">
                  <c:v>1.898794046299167</c:v>
                </c:pt>
                <c:pt idx="284">
                  <c:v>1.8829475928589272</c:v>
                </c:pt>
                <c:pt idx="285">
                  <c:v>1.8660254037844393</c:v>
                </c:pt>
                <c:pt idx="286">
                  <c:v>1.8480480961564258</c:v>
                </c:pt>
                <c:pt idx="287">
                  <c:v>1.8290375725550416</c:v>
                </c:pt>
                <c:pt idx="288">
                  <c:v>1.8090169943749477</c:v>
                </c:pt>
                <c:pt idx="289">
                  <c:v>1.7880107536067225</c:v>
                </c:pt>
                <c:pt idx="290">
                  <c:v>1.7660444431189777</c:v>
                </c:pt>
                <c:pt idx="291">
                  <c:v>1.743144825477394</c:v>
                </c:pt>
                <c:pt idx="292">
                  <c:v>1.7193398003386513</c:v>
                </c:pt>
                <c:pt idx="293">
                  <c:v>1.6946583704589977</c:v>
                </c:pt>
                <c:pt idx="294">
                  <c:v>1.6691306063588589</c:v>
                </c:pt>
                <c:pt idx="295">
                  <c:v>1.642787609686539</c:v>
                </c:pt>
                <c:pt idx="296">
                  <c:v>1.6156614753256582</c:v>
                </c:pt>
                <c:pt idx="297">
                  <c:v>1.5877852522924734</c:v>
                </c:pt>
                <c:pt idx="298">
                  <c:v>1.5591929034707475</c:v>
                </c:pt>
                <c:pt idx="299">
                  <c:v>1.5299192642332045</c:v>
                </c:pt>
                <c:pt idx="300">
                  <c:v>1.4999999999999998</c:v>
                </c:pt>
                <c:pt idx="301">
                  <c:v>1.469471562785891</c:v>
                </c:pt>
                <c:pt idx="302">
                  <c:v>1.4383711467890778</c:v>
                </c:pt>
                <c:pt idx="303">
                  <c:v>1.406736643075801</c:v>
                </c:pt>
                <c:pt idx="304">
                  <c:v>1.3746065934159117</c:v>
                </c:pt>
                <c:pt idx="305">
                  <c:v>1.3420201433256689</c:v>
                </c:pt>
                <c:pt idx="306">
                  <c:v>1.3090169943749479</c:v>
                </c:pt>
                <c:pt idx="307">
                  <c:v>1.275637355817</c:v>
                </c:pt>
                <c:pt idx="308">
                  <c:v>1.2419218955996671</c:v>
                </c:pt>
                <c:pt idx="309">
                  <c:v>1.2079116908177592</c:v>
                </c:pt>
                <c:pt idx="310">
                  <c:v>1.1736481776669305</c:v>
                </c:pt>
                <c:pt idx="311">
                  <c:v>1.1391731009600661</c:v>
                </c:pt>
                <c:pt idx="312">
                  <c:v>1.1045284632676544</c:v>
                </c:pt>
                <c:pt idx="313">
                  <c:v>1.069756473744125</c:v>
                </c:pt>
                <c:pt idx="314">
                  <c:v>1.0348994967025009</c:v>
                </c:pt>
                <c:pt idx="315">
                  <c:v>1.0000000000000004</c:v>
                </c:pt>
                <c:pt idx="316">
                  <c:v>1.0348994967025003</c:v>
                </c:pt>
                <c:pt idx="317">
                  <c:v>1.0697564737441259</c:v>
                </c:pt>
                <c:pt idx="318">
                  <c:v>1.1045284632676535</c:v>
                </c:pt>
                <c:pt idx="319">
                  <c:v>1.1391731009600652</c:v>
                </c:pt>
                <c:pt idx="320">
                  <c:v>1.1736481776669296</c:v>
                </c:pt>
                <c:pt idx="321">
                  <c:v>1.2079116908177583</c:v>
                </c:pt>
                <c:pt idx="322">
                  <c:v>1.241921895599668</c:v>
                </c:pt>
                <c:pt idx="323">
                  <c:v>1.2756373558169991</c:v>
                </c:pt>
                <c:pt idx="324">
                  <c:v>1.309016994374947</c:v>
                </c:pt>
                <c:pt idx="325">
                  <c:v>1.342020143325668</c:v>
                </c:pt>
                <c:pt idx="326">
                  <c:v>1.3746065934159124</c:v>
                </c:pt>
                <c:pt idx="327">
                  <c:v>1.4067366430758004</c:v>
                </c:pt>
                <c:pt idx="328">
                  <c:v>1.4383711467890772</c:v>
                </c:pt>
                <c:pt idx="329">
                  <c:v>1.4694715627858903</c:v>
                </c:pt>
                <c:pt idx="330">
                  <c:v>1.4999999999999991</c:v>
                </c:pt>
                <c:pt idx="331">
                  <c:v>1.5299192642332051</c:v>
                </c:pt>
                <c:pt idx="332">
                  <c:v>1.5591929034707468</c:v>
                </c:pt>
                <c:pt idx="333">
                  <c:v>1.5877852522924729</c:v>
                </c:pt>
                <c:pt idx="334">
                  <c:v>1.6156614753256577</c:v>
                </c:pt>
                <c:pt idx="335">
                  <c:v>1.6427876096865397</c:v>
                </c:pt>
                <c:pt idx="336">
                  <c:v>1.6691306063588582</c:v>
                </c:pt>
                <c:pt idx="337">
                  <c:v>1.6946583704589973</c:v>
                </c:pt>
                <c:pt idx="338">
                  <c:v>1.7193398003386506</c:v>
                </c:pt>
                <c:pt idx="339">
                  <c:v>1.7431448254773936</c:v>
                </c:pt>
                <c:pt idx="340">
                  <c:v>1.7660444431189783</c:v>
                </c:pt>
                <c:pt idx="341">
                  <c:v>1.7880107536067218</c:v>
                </c:pt>
                <c:pt idx="342">
                  <c:v>1.809016994374947</c:v>
                </c:pt>
                <c:pt idx="343">
                  <c:v>1.8290375725550412</c:v>
                </c:pt>
                <c:pt idx="344">
                  <c:v>1.8480480961564263</c:v>
                </c:pt>
                <c:pt idx="345">
                  <c:v>1.8660254037844388</c:v>
                </c:pt>
                <c:pt idx="346">
                  <c:v>1.8829475928589268</c:v>
                </c:pt>
                <c:pt idx="347">
                  <c:v>1.8987940462991668</c:v>
                </c:pt>
                <c:pt idx="348">
                  <c:v>1.9135454576426003</c:v>
                </c:pt>
                <c:pt idx="349">
                  <c:v>1.9271838545667874</c:v>
                </c:pt>
                <c:pt idx="350">
                  <c:v>1.9396926207859084</c:v>
                </c:pt>
                <c:pt idx="351">
                  <c:v>1.9510565162951534</c:v>
                </c:pt>
                <c:pt idx="352">
                  <c:v>1.9612616959383187</c:v>
                </c:pt>
                <c:pt idx="353">
                  <c:v>1.9702957262759966</c:v>
                </c:pt>
                <c:pt idx="354">
                  <c:v>1.9781476007338057</c:v>
                </c:pt>
                <c:pt idx="355">
                  <c:v>1.9848077530122081</c:v>
                </c:pt>
                <c:pt idx="356">
                  <c:v>1.9902680687415701</c:v>
                </c:pt>
                <c:pt idx="357">
                  <c:v>1.9945218953682731</c:v>
                </c:pt>
                <c:pt idx="358">
                  <c:v>1.9975640502598244</c:v>
                </c:pt>
                <c:pt idx="359">
                  <c:v>1.9993908270190959</c:v>
                </c:pt>
                <c:pt idx="36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C3-4795-9E65-B31FFD518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120696"/>
        <c:axId val="727121776"/>
      </c:scatterChart>
      <c:valAx>
        <c:axId val="72712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21776"/>
        <c:crosses val="autoZero"/>
        <c:crossBetween val="midCat"/>
        <c:majorUnit val="15"/>
      </c:valAx>
      <c:valAx>
        <c:axId val="72712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20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381000</xdr:colOff>
      <xdr:row>3</xdr:row>
      <xdr:rowOff>28575</xdr:rowOff>
    </xdr:from>
    <xdr:to>
      <xdr:col>20</xdr:col>
      <xdr:colOff>416410</xdr:colOff>
      <xdr:row>35</xdr:row>
      <xdr:rowOff>123825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217B5D8-465F-02BF-D02B-2FD62C245D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0200" y="600075"/>
          <a:ext cx="11008210" cy="6191250"/>
        </a:xfrm>
        <a:prstGeom prst="rect">
          <a:avLst/>
        </a:prstGeom>
      </xdr:spPr>
    </xdr:pic>
    <xdr:clientData/>
  </xdr:twoCellAnchor>
  <xdr:twoCellAnchor>
    <xdr:from>
      <xdr:col>5</xdr:col>
      <xdr:colOff>32097</xdr:colOff>
      <xdr:row>17</xdr:row>
      <xdr:rowOff>120916</xdr:rowOff>
    </xdr:from>
    <xdr:to>
      <xdr:col>5</xdr:col>
      <xdr:colOff>269003</xdr:colOff>
      <xdr:row>22</xdr:row>
      <xdr:rowOff>173162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DB563966-07D3-E8CC-C694-E3B5625951E2}"/>
            </a:ext>
          </a:extLst>
        </xdr:cNvPr>
        <xdr:cNvSpPr/>
      </xdr:nvSpPr>
      <xdr:spPr>
        <a:xfrm rot="180555">
          <a:off x="3080097" y="3359416"/>
          <a:ext cx="236906" cy="1004746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11</xdr:row>
      <xdr:rowOff>85725</xdr:rowOff>
    </xdr:from>
    <xdr:to>
      <xdr:col>12</xdr:col>
      <xdr:colOff>495300</xdr:colOff>
      <xdr:row>18</xdr:row>
      <xdr:rowOff>0</xdr:rowOff>
    </xdr:to>
    <xdr:sp macro="" textlink="">
      <xdr:nvSpPr>
        <xdr:cNvPr id="2" name="Right Triangle 1">
          <a:extLst>
            <a:ext uri="{FF2B5EF4-FFF2-40B4-BE49-F238E27FC236}">
              <a16:creationId xmlns:a16="http://schemas.microsoft.com/office/drawing/2014/main" id="{A3E10C9C-DF60-483E-849E-C0496B373B6E}"/>
            </a:ext>
          </a:extLst>
        </xdr:cNvPr>
        <xdr:cNvSpPr/>
      </xdr:nvSpPr>
      <xdr:spPr>
        <a:xfrm>
          <a:off x="4105275" y="2181225"/>
          <a:ext cx="3705225" cy="1247775"/>
        </a:xfrm>
        <a:prstGeom prst="rt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404812</xdr:colOff>
      <xdr:row>3</xdr:row>
      <xdr:rowOff>9525</xdr:rowOff>
    </xdr:from>
    <xdr:to>
      <xdr:col>22</xdr:col>
      <xdr:colOff>100012</xdr:colOff>
      <xdr:row>17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135DCF-A8D3-A7EC-F9FE-B79756514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300036</xdr:colOff>
      <xdr:row>24</xdr:row>
      <xdr:rowOff>9525</xdr:rowOff>
    </xdr:from>
    <xdr:to>
      <xdr:col>28</xdr:col>
      <xdr:colOff>85725</xdr:colOff>
      <xdr:row>52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1BA19B-BFE2-1E9A-FA50-243646964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395287</xdr:colOff>
      <xdr:row>40</xdr:row>
      <xdr:rowOff>123825</xdr:rowOff>
    </xdr:from>
    <xdr:to>
      <xdr:col>35</xdr:col>
      <xdr:colOff>90487</xdr:colOff>
      <xdr:row>55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A38257-FA28-3033-45CE-A561652CB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114300</xdr:colOff>
      <xdr:row>80</xdr:row>
      <xdr:rowOff>71437</xdr:rowOff>
    </xdr:from>
    <xdr:to>
      <xdr:col>23</xdr:col>
      <xdr:colOff>419100</xdr:colOff>
      <xdr:row>94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F7D07D-8E2A-F3BF-0950-6DFF49184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266700</xdr:colOff>
      <xdr:row>71</xdr:row>
      <xdr:rowOff>147637</xdr:rowOff>
    </xdr:from>
    <xdr:to>
      <xdr:col>23</xdr:col>
      <xdr:colOff>571500</xdr:colOff>
      <xdr:row>86</xdr:row>
      <xdr:rowOff>33337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7C9D8E-88D7-798B-4A9A-9651DE2765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209549</xdr:colOff>
      <xdr:row>103</xdr:row>
      <xdr:rowOff>90486</xdr:rowOff>
    </xdr:from>
    <xdr:to>
      <xdr:col>22</xdr:col>
      <xdr:colOff>200024</xdr:colOff>
      <xdr:row>129</xdr:row>
      <xdr:rowOff>171449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AC8A75C-134F-C535-CA05-5B34FF105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gram%20Files%20(x86)\Trimill\TriLookup\TriLookup.xla" TargetMode="External"/><Relationship Id="rId1" Type="http://schemas.openxmlformats.org/officeDocument/2006/relationships/externalLinkPath" Target="/Program%20Files%20(x86)/Trimill/TriLookup/TriLookup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Functions"/>
    </sheetNames>
    <definedNames>
      <definedName name="TVLOOKUP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638A7-5364-4539-88F3-B010BD503402}">
  <dimension ref="A1:BI196"/>
  <sheetViews>
    <sheetView showGridLines="0" tabSelected="1" zoomScale="110" zoomScaleNormal="110" zoomScaleSheetLayoutView="50" workbookViewId="0">
      <pane xSplit="2" ySplit="5" topLeftCell="C191" activePane="bottomRight" state="frozen"/>
      <selection pane="topRight" activeCell="C1" sqref="C1"/>
      <selection pane="bottomLeft" activeCell="A6" sqref="A6"/>
      <selection pane="bottomRight" activeCell="J196" sqref="J196"/>
    </sheetView>
  </sheetViews>
  <sheetFormatPr defaultRowHeight="15" x14ac:dyDescent="0.25"/>
  <cols>
    <col min="1" max="1" width="10.7109375" style="6" customWidth="1"/>
    <col min="2" max="2" width="30.42578125" style="6" customWidth="1"/>
    <col min="3" max="3" width="19.140625" style="6" customWidth="1"/>
    <col min="4" max="5" width="19.28515625" style="6" customWidth="1"/>
    <col min="6" max="6" width="22.7109375" style="17" customWidth="1"/>
    <col min="7" max="7" width="10.5703125" style="21" bestFit="1" customWidth="1"/>
    <col min="8" max="8" width="29.28515625" style="4" customWidth="1"/>
    <col min="9" max="9" width="9.85546875" style="3" customWidth="1"/>
    <col min="10" max="12" width="10.7109375" style="3" customWidth="1"/>
    <col min="13" max="13" width="12.5703125" style="3" customWidth="1"/>
    <col min="14" max="14" width="17.5703125" style="3" customWidth="1"/>
    <col min="15" max="16" width="12.85546875" style="3" customWidth="1"/>
    <col min="17" max="24" width="13.42578125" style="3" customWidth="1"/>
    <col min="25" max="25" width="8.85546875" style="3" customWidth="1"/>
    <col min="26" max="26" width="11.7109375" style="3" customWidth="1"/>
    <col min="27" max="27" width="10.85546875" style="5" customWidth="1"/>
    <col min="28" max="28" width="10.140625" style="5" customWidth="1"/>
    <col min="29" max="29" width="12.140625" style="5" customWidth="1"/>
    <col min="30" max="31" width="12.85546875" style="5" customWidth="1"/>
    <col min="32" max="34" width="13.42578125" style="5" customWidth="1"/>
    <col min="35" max="36" width="13.42578125" style="45" customWidth="1"/>
    <col min="37" max="37" width="43.5703125" style="45" customWidth="1"/>
    <col min="38" max="43" width="11.28515625" style="23" customWidth="1"/>
    <col min="44" max="44" width="11.7109375" style="25" customWidth="1"/>
    <col min="45" max="45" width="11.7109375" style="54" customWidth="1"/>
    <col min="46" max="48" width="11.7109375" style="52" customWidth="1"/>
    <col min="49" max="58" width="9.85546875" style="38" customWidth="1"/>
    <col min="59" max="59" width="9.140625" style="40"/>
    <col min="60" max="60" width="21" style="40" customWidth="1"/>
    <col min="61" max="61" width="9.140625" style="40"/>
  </cols>
  <sheetData>
    <row r="1" spans="1:61" s="1" customFormat="1" ht="47.25" customHeight="1" x14ac:dyDescent="0.25">
      <c r="A1" s="11" t="s">
        <v>53</v>
      </c>
      <c r="B1" s="11" t="s">
        <v>30</v>
      </c>
      <c r="C1" s="11" t="s">
        <v>7</v>
      </c>
      <c r="D1" s="11" t="s">
        <v>6</v>
      </c>
      <c r="E1" s="11" t="s">
        <v>3</v>
      </c>
      <c r="F1" s="11" t="s">
        <v>0</v>
      </c>
      <c r="G1" s="18" t="s">
        <v>106</v>
      </c>
      <c r="H1" s="12" t="s">
        <v>1</v>
      </c>
      <c r="I1" s="12" t="s">
        <v>11</v>
      </c>
      <c r="J1" s="12" t="s">
        <v>8</v>
      </c>
      <c r="K1" s="12" t="s">
        <v>139</v>
      </c>
      <c r="L1" s="12" t="s">
        <v>15</v>
      </c>
      <c r="M1" s="12" t="s">
        <v>14</v>
      </c>
      <c r="N1" s="12" t="s">
        <v>19</v>
      </c>
      <c r="O1" s="12" t="s">
        <v>16</v>
      </c>
      <c r="P1" s="12" t="s">
        <v>17</v>
      </c>
      <c r="Q1" s="12" t="s">
        <v>405</v>
      </c>
      <c r="R1" s="12" t="s">
        <v>82</v>
      </c>
      <c r="S1" s="12" t="s">
        <v>386</v>
      </c>
      <c r="T1" s="12" t="s">
        <v>388</v>
      </c>
      <c r="U1" s="12" t="s">
        <v>51</v>
      </c>
      <c r="V1" s="12" t="s">
        <v>77</v>
      </c>
      <c r="W1" s="12" t="s">
        <v>212</v>
      </c>
      <c r="X1" s="12" t="s">
        <v>172</v>
      </c>
      <c r="Y1" s="12" t="s">
        <v>73</v>
      </c>
      <c r="Z1" s="12" t="s">
        <v>75</v>
      </c>
      <c r="AA1" s="12" t="s">
        <v>21</v>
      </c>
      <c r="AB1" s="12" t="s">
        <v>22</v>
      </c>
      <c r="AC1" s="12" t="s">
        <v>23</v>
      </c>
      <c r="AD1" s="12" t="s">
        <v>24</v>
      </c>
      <c r="AE1" s="12" t="s">
        <v>25</v>
      </c>
      <c r="AF1" s="12" t="s">
        <v>406</v>
      </c>
      <c r="AG1" s="12" t="s">
        <v>158</v>
      </c>
      <c r="AH1" s="12" t="s">
        <v>159</v>
      </c>
      <c r="AI1" s="47" t="s">
        <v>1315</v>
      </c>
      <c r="AJ1" s="47" t="s">
        <v>1314</v>
      </c>
      <c r="AK1" s="47" t="s">
        <v>1312</v>
      </c>
      <c r="AL1" s="14" t="s">
        <v>120</v>
      </c>
      <c r="AM1" s="14" t="s">
        <v>121</v>
      </c>
      <c r="AN1" s="14" t="s">
        <v>123</v>
      </c>
      <c r="AO1" s="14" t="s">
        <v>124</v>
      </c>
      <c r="AP1" s="14" t="s">
        <v>127</v>
      </c>
      <c r="AQ1" s="14" t="s">
        <v>126</v>
      </c>
      <c r="AR1" s="24" t="s">
        <v>134</v>
      </c>
      <c r="AS1" s="53" t="s">
        <v>1552</v>
      </c>
      <c r="AT1" s="51" t="s">
        <v>1546</v>
      </c>
      <c r="AU1" s="51" t="s">
        <v>1547</v>
      </c>
      <c r="AV1" s="51" t="s">
        <v>1550</v>
      </c>
      <c r="AW1" s="14" t="s">
        <v>251</v>
      </c>
      <c r="AX1" s="14" t="s">
        <v>201</v>
      </c>
      <c r="AY1" s="14" t="s">
        <v>255</v>
      </c>
      <c r="AZ1" s="14" t="s">
        <v>202</v>
      </c>
      <c r="BA1" s="14" t="s">
        <v>257</v>
      </c>
      <c r="BB1" s="14" t="s">
        <v>200</v>
      </c>
      <c r="BC1" s="14" t="s">
        <v>204</v>
      </c>
      <c r="BD1" s="14" t="s">
        <v>206</v>
      </c>
      <c r="BE1" s="14" t="s">
        <v>207</v>
      </c>
      <c r="BF1" s="14" t="s">
        <v>210</v>
      </c>
      <c r="BG1" s="42" t="s">
        <v>1152</v>
      </c>
      <c r="BH1" s="42" t="s">
        <v>1413</v>
      </c>
      <c r="BI1" s="42" t="s">
        <v>1387</v>
      </c>
    </row>
    <row r="2" spans="1:61" s="1" customFormat="1" ht="26.25" customHeight="1" x14ac:dyDescent="0.25">
      <c r="A2" s="11" t="s">
        <v>50</v>
      </c>
      <c r="B2" s="11" t="s">
        <v>49</v>
      </c>
      <c r="C2" s="11" t="s">
        <v>49</v>
      </c>
      <c r="D2" s="11" t="s">
        <v>49</v>
      </c>
      <c r="E2" s="11" t="s">
        <v>49</v>
      </c>
      <c r="F2" s="11" t="s">
        <v>49</v>
      </c>
      <c r="G2" s="18" t="s">
        <v>50</v>
      </c>
      <c r="H2" s="11" t="s">
        <v>49</v>
      </c>
      <c r="I2" s="12" t="s">
        <v>50</v>
      </c>
      <c r="J2" s="12" t="s">
        <v>50</v>
      </c>
      <c r="K2" s="12" t="s">
        <v>50</v>
      </c>
      <c r="L2" s="12" t="s">
        <v>50</v>
      </c>
      <c r="M2" s="12" t="s">
        <v>50</v>
      </c>
      <c r="N2" s="12" t="s">
        <v>49</v>
      </c>
      <c r="O2" s="12" t="s">
        <v>50</v>
      </c>
      <c r="P2" s="12" t="s">
        <v>50</v>
      </c>
      <c r="Q2" s="12" t="s">
        <v>50</v>
      </c>
      <c r="R2" s="12" t="s">
        <v>50</v>
      </c>
      <c r="S2" s="12" t="s">
        <v>50</v>
      </c>
      <c r="T2" s="12" t="s">
        <v>50</v>
      </c>
      <c r="U2" s="12" t="s">
        <v>50</v>
      </c>
      <c r="V2" s="12" t="s">
        <v>49</v>
      </c>
      <c r="W2" s="12" t="s">
        <v>49</v>
      </c>
      <c r="X2" s="12" t="s">
        <v>50</v>
      </c>
      <c r="Y2" s="12" t="s">
        <v>50</v>
      </c>
      <c r="Z2" s="12" t="s">
        <v>50</v>
      </c>
      <c r="AA2" s="12" t="s">
        <v>50</v>
      </c>
      <c r="AB2" s="12" t="s">
        <v>50</v>
      </c>
      <c r="AC2" s="12" t="s">
        <v>50</v>
      </c>
      <c r="AD2" s="12" t="s">
        <v>50</v>
      </c>
      <c r="AE2" s="12" t="s">
        <v>50</v>
      </c>
      <c r="AF2" s="12" t="s">
        <v>50</v>
      </c>
      <c r="AG2" s="12" t="s">
        <v>50</v>
      </c>
      <c r="AH2" s="12" t="s">
        <v>50</v>
      </c>
      <c r="AI2" s="43" t="s">
        <v>49</v>
      </c>
      <c r="AJ2" s="43" t="s">
        <v>50</v>
      </c>
      <c r="AK2" s="43" t="s">
        <v>49</v>
      </c>
      <c r="AL2" s="14" t="s">
        <v>50</v>
      </c>
      <c r="AM2" s="14" t="s">
        <v>50</v>
      </c>
      <c r="AN2" s="14" t="s">
        <v>50</v>
      </c>
      <c r="AO2" s="14" t="s">
        <v>50</v>
      </c>
      <c r="AP2" s="14" t="s">
        <v>50</v>
      </c>
      <c r="AQ2" s="14" t="s">
        <v>50</v>
      </c>
      <c r="AR2" s="24" t="s">
        <v>50</v>
      </c>
      <c r="AS2" s="53" t="s">
        <v>50</v>
      </c>
      <c r="AT2" s="51" t="s">
        <v>50</v>
      </c>
      <c r="AU2" s="51" t="s">
        <v>50</v>
      </c>
      <c r="AV2" s="51" t="s">
        <v>50</v>
      </c>
      <c r="AW2" s="14" t="s">
        <v>50</v>
      </c>
      <c r="AX2" s="14" t="s">
        <v>50</v>
      </c>
      <c r="AY2" s="14" t="s">
        <v>50</v>
      </c>
      <c r="AZ2" s="14" t="s">
        <v>50</v>
      </c>
      <c r="BA2" s="14" t="s">
        <v>50</v>
      </c>
      <c r="BB2" s="14" t="s">
        <v>50</v>
      </c>
      <c r="BC2" s="14" t="s">
        <v>50</v>
      </c>
      <c r="BD2" s="14" t="s">
        <v>50</v>
      </c>
      <c r="BE2" s="14" t="s">
        <v>50</v>
      </c>
      <c r="BF2" s="14" t="s">
        <v>50</v>
      </c>
      <c r="BG2" s="42" t="s">
        <v>50</v>
      </c>
      <c r="BH2" s="42" t="s">
        <v>49</v>
      </c>
      <c r="BI2" s="42" t="s">
        <v>1388</v>
      </c>
    </row>
    <row r="3" spans="1:61" s="1" customFormat="1" ht="33" customHeight="1" x14ac:dyDescent="0.25">
      <c r="A3" s="11" t="s">
        <v>54</v>
      </c>
      <c r="B3" s="11" t="s">
        <v>31</v>
      </c>
      <c r="C3" s="11" t="s">
        <v>32</v>
      </c>
      <c r="D3" s="11" t="s">
        <v>33</v>
      </c>
      <c r="E3" s="11" t="s">
        <v>3</v>
      </c>
      <c r="F3" s="11" t="s">
        <v>34</v>
      </c>
      <c r="G3" s="18" t="s">
        <v>107</v>
      </c>
      <c r="H3" s="12" t="s">
        <v>35</v>
      </c>
      <c r="I3" s="12" t="s">
        <v>42</v>
      </c>
      <c r="J3" s="12" t="s">
        <v>41</v>
      </c>
      <c r="K3" s="12" t="s">
        <v>140</v>
      </c>
      <c r="L3" s="12" t="s">
        <v>40</v>
      </c>
      <c r="M3" s="12" t="s">
        <v>39</v>
      </c>
      <c r="N3" s="12" t="s">
        <v>36</v>
      </c>
      <c r="O3" s="12" t="s">
        <v>37</v>
      </c>
      <c r="P3" s="12" t="s">
        <v>38</v>
      </c>
      <c r="Q3" s="12" t="s">
        <v>84</v>
      </c>
      <c r="R3" s="12" t="s">
        <v>83</v>
      </c>
      <c r="S3" s="12" t="s">
        <v>387</v>
      </c>
      <c r="T3" s="12" t="s">
        <v>389</v>
      </c>
      <c r="U3" s="12" t="s">
        <v>52</v>
      </c>
      <c r="V3" s="12" t="s">
        <v>80</v>
      </c>
      <c r="W3" s="12" t="s">
        <v>213</v>
      </c>
      <c r="X3" s="12" t="s">
        <v>1228</v>
      </c>
      <c r="Y3" s="12" t="s">
        <v>74</v>
      </c>
      <c r="Z3" s="12" t="s">
        <v>76</v>
      </c>
      <c r="AA3" s="12" t="s">
        <v>43</v>
      </c>
      <c r="AB3" s="12" t="s">
        <v>44</v>
      </c>
      <c r="AC3" s="12" t="s">
        <v>45</v>
      </c>
      <c r="AD3" s="12" t="s">
        <v>46</v>
      </c>
      <c r="AE3" s="12" t="s">
        <v>47</v>
      </c>
      <c r="AF3" s="12" t="s">
        <v>48</v>
      </c>
      <c r="AG3" s="12" t="s">
        <v>161</v>
      </c>
      <c r="AH3" s="12" t="s">
        <v>162</v>
      </c>
      <c r="AI3" s="43" t="s">
        <v>1316</v>
      </c>
      <c r="AJ3" s="43" t="s">
        <v>1317</v>
      </c>
      <c r="AK3" s="43" t="s">
        <v>1318</v>
      </c>
      <c r="AL3" s="14" t="s">
        <v>132</v>
      </c>
      <c r="AM3" s="14" t="s">
        <v>131</v>
      </c>
      <c r="AN3" s="14" t="s">
        <v>133</v>
      </c>
      <c r="AO3" s="14" t="s">
        <v>130</v>
      </c>
      <c r="AP3" s="14" t="s">
        <v>129</v>
      </c>
      <c r="AQ3" s="14" t="s">
        <v>128</v>
      </c>
      <c r="AR3" s="24" t="s">
        <v>135</v>
      </c>
      <c r="AS3" s="53" t="s">
        <v>1553</v>
      </c>
      <c r="AT3" s="51" t="s">
        <v>1549</v>
      </c>
      <c r="AU3" s="51" t="s">
        <v>1548</v>
      </c>
      <c r="AV3" s="51" t="s">
        <v>1551</v>
      </c>
      <c r="AW3" s="14" t="s">
        <v>1150</v>
      </c>
      <c r="AX3" s="14" t="s">
        <v>253</v>
      </c>
      <c r="AY3" s="14" t="s">
        <v>256</v>
      </c>
      <c r="AZ3" s="14" t="s">
        <v>203</v>
      </c>
      <c r="BA3" s="14" t="s">
        <v>258</v>
      </c>
      <c r="BB3" s="14" t="s">
        <v>254</v>
      </c>
      <c r="BC3" s="14" t="s">
        <v>205</v>
      </c>
      <c r="BD3" s="14" t="s">
        <v>208</v>
      </c>
      <c r="BE3" s="14" t="s">
        <v>209</v>
      </c>
      <c r="BF3" s="14" t="s">
        <v>211</v>
      </c>
      <c r="BG3" s="42" t="s">
        <v>1151</v>
      </c>
      <c r="BH3" s="42" t="s">
        <v>1414</v>
      </c>
      <c r="BI3" s="42" t="s">
        <v>1389</v>
      </c>
    </row>
    <row r="4" spans="1:61" s="1" customFormat="1" ht="31.5" customHeight="1" x14ac:dyDescent="0.25">
      <c r="A4" s="11" t="s">
        <v>1420</v>
      </c>
      <c r="B4" s="11" t="s">
        <v>1265</v>
      </c>
      <c r="C4" s="11" t="s">
        <v>1558</v>
      </c>
      <c r="D4" s="11" t="s">
        <v>33</v>
      </c>
      <c r="E4" s="11" t="s">
        <v>3</v>
      </c>
      <c r="F4" s="11" t="s">
        <v>1534</v>
      </c>
      <c r="G4" s="18" t="s">
        <v>1267</v>
      </c>
      <c r="H4" s="11" t="s">
        <v>1266</v>
      </c>
      <c r="I4" s="12" t="s">
        <v>1268</v>
      </c>
      <c r="J4" s="12" t="s">
        <v>1269</v>
      </c>
      <c r="K4" s="12" t="s">
        <v>1527</v>
      </c>
      <c r="L4" s="12" t="s">
        <v>1531</v>
      </c>
      <c r="M4" s="12" t="s">
        <v>1532</v>
      </c>
      <c r="N4" s="12" t="s">
        <v>1234</v>
      </c>
      <c r="O4" s="12" t="s">
        <v>1236</v>
      </c>
      <c r="P4" s="12" t="s">
        <v>1235</v>
      </c>
      <c r="Q4" s="12" t="s">
        <v>1528</v>
      </c>
      <c r="R4" s="12" t="s">
        <v>1277</v>
      </c>
      <c r="S4" s="12" t="s">
        <v>1276</v>
      </c>
      <c r="T4" s="12" t="s">
        <v>1250</v>
      </c>
      <c r="U4" s="12" t="s">
        <v>1533</v>
      </c>
      <c r="V4" s="12" t="s">
        <v>1282</v>
      </c>
      <c r="W4" s="12" t="s">
        <v>1283</v>
      </c>
      <c r="X4" s="12" t="s">
        <v>1284</v>
      </c>
      <c r="Y4" s="12" t="s">
        <v>1529</v>
      </c>
      <c r="Z4" s="12" t="s">
        <v>1530</v>
      </c>
      <c r="AA4" s="12" t="s">
        <v>1285</v>
      </c>
      <c r="AB4" s="12" t="s">
        <v>1286</v>
      </c>
      <c r="AC4" s="12" t="s">
        <v>1287</v>
      </c>
      <c r="AD4" s="12" t="s">
        <v>1555</v>
      </c>
      <c r="AE4" s="12" t="s">
        <v>1556</v>
      </c>
      <c r="AF4" s="12" t="s">
        <v>1557</v>
      </c>
      <c r="AG4" s="12" t="s">
        <v>1288</v>
      </c>
      <c r="AH4" s="12" t="s">
        <v>1289</v>
      </c>
      <c r="AI4" s="43" t="s">
        <v>1316</v>
      </c>
      <c r="AJ4" s="43" t="s">
        <v>1317</v>
      </c>
      <c r="AK4" s="43" t="s">
        <v>1318</v>
      </c>
      <c r="AL4" s="14" t="s">
        <v>1292</v>
      </c>
      <c r="AM4" s="14" t="s">
        <v>1291</v>
      </c>
      <c r="AN4" s="14" t="s">
        <v>1290</v>
      </c>
      <c r="AO4" s="14" t="s">
        <v>1293</v>
      </c>
      <c r="AP4" s="14" t="s">
        <v>1294</v>
      </c>
      <c r="AQ4" s="14" t="s">
        <v>1295</v>
      </c>
      <c r="AR4" s="24" t="s">
        <v>1306</v>
      </c>
      <c r="AS4" s="53" t="s">
        <v>1553</v>
      </c>
      <c r="AT4" s="51" t="s">
        <v>1549</v>
      </c>
      <c r="AU4" s="51" t="s">
        <v>1548</v>
      </c>
      <c r="AV4" s="51" t="s">
        <v>1551</v>
      </c>
      <c r="AW4" s="14" t="s">
        <v>1305</v>
      </c>
      <c r="AX4" s="14" t="s">
        <v>1296</v>
      </c>
      <c r="AY4" s="14" t="s">
        <v>1297</v>
      </c>
      <c r="AZ4" s="14" t="s">
        <v>1298</v>
      </c>
      <c r="BA4" s="14" t="s">
        <v>258</v>
      </c>
      <c r="BB4" s="14" t="s">
        <v>1299</v>
      </c>
      <c r="BC4" s="14" t="s">
        <v>1300</v>
      </c>
      <c r="BD4" s="14" t="s">
        <v>1301</v>
      </c>
      <c r="BE4" s="14" t="s">
        <v>1302</v>
      </c>
      <c r="BF4" s="14" t="s">
        <v>1303</v>
      </c>
      <c r="BG4" s="42" t="s">
        <v>1304</v>
      </c>
      <c r="BH4" s="42" t="s">
        <v>1414</v>
      </c>
      <c r="BI4" s="42" t="s">
        <v>1389</v>
      </c>
    </row>
    <row r="5" spans="1:61" s="2" customFormat="1" ht="33" customHeight="1" x14ac:dyDescent="0.25">
      <c r="A5" s="13"/>
      <c r="B5" s="13"/>
      <c r="C5" s="13" t="s">
        <v>29</v>
      </c>
      <c r="D5" s="13"/>
      <c r="E5" s="13"/>
      <c r="F5" s="13" t="s">
        <v>105</v>
      </c>
      <c r="G5" s="19"/>
      <c r="H5" s="14" t="s">
        <v>9</v>
      </c>
      <c r="I5" s="14" t="s">
        <v>12</v>
      </c>
      <c r="J5" s="14" t="s">
        <v>10</v>
      </c>
      <c r="K5" s="14" t="s">
        <v>141</v>
      </c>
      <c r="L5" s="14" t="s">
        <v>20</v>
      </c>
      <c r="M5" s="14" t="s">
        <v>13</v>
      </c>
      <c r="N5" s="14"/>
      <c r="O5" s="14" t="s">
        <v>13</v>
      </c>
      <c r="P5" s="14" t="s">
        <v>13</v>
      </c>
      <c r="Q5" s="14" t="s">
        <v>18</v>
      </c>
      <c r="R5" s="14" t="s">
        <v>18</v>
      </c>
      <c r="S5" s="14" t="s">
        <v>10</v>
      </c>
      <c r="T5" s="14" t="s">
        <v>13</v>
      </c>
      <c r="U5" s="14" t="s">
        <v>18</v>
      </c>
      <c r="V5" s="14" t="s">
        <v>78</v>
      </c>
      <c r="W5" s="14" t="s">
        <v>214</v>
      </c>
      <c r="X5" s="14" t="s">
        <v>171</v>
      </c>
      <c r="Y5" s="14" t="s">
        <v>18</v>
      </c>
      <c r="Z5" s="14" t="s">
        <v>18</v>
      </c>
      <c r="AA5" s="14" t="s">
        <v>27</v>
      </c>
      <c r="AB5" s="14" t="s">
        <v>26</v>
      </c>
      <c r="AC5" s="14" t="s">
        <v>26</v>
      </c>
      <c r="AD5" s="14" t="s">
        <v>26</v>
      </c>
      <c r="AE5" s="14" t="s">
        <v>26</v>
      </c>
      <c r="AF5" s="14" t="s">
        <v>28</v>
      </c>
      <c r="AG5" s="27" t="s">
        <v>160</v>
      </c>
      <c r="AH5" s="27" t="s">
        <v>160</v>
      </c>
      <c r="AI5" s="43"/>
      <c r="AJ5" s="46" t="s">
        <v>1313</v>
      </c>
      <c r="AK5" s="43"/>
      <c r="AL5" s="14" t="s">
        <v>136</v>
      </c>
      <c r="AM5" s="14" t="s">
        <v>122</v>
      </c>
      <c r="AN5" s="14" t="s">
        <v>12</v>
      </c>
      <c r="AO5" s="14" t="s">
        <v>125</v>
      </c>
      <c r="AP5" s="14" t="s">
        <v>125</v>
      </c>
      <c r="AQ5" s="14" t="s">
        <v>125</v>
      </c>
      <c r="AR5" s="24" t="s">
        <v>137</v>
      </c>
      <c r="AS5" s="53" t="s">
        <v>1554</v>
      </c>
      <c r="AT5" s="51" t="s">
        <v>12</v>
      </c>
      <c r="AU5" s="51" t="s">
        <v>136</v>
      </c>
      <c r="AV5" s="51" t="s">
        <v>1554</v>
      </c>
      <c r="AW5" s="2" t="s">
        <v>252</v>
      </c>
      <c r="BG5" s="39"/>
      <c r="BH5" s="39"/>
      <c r="BI5" s="39"/>
    </row>
    <row r="6" spans="1:61" x14ac:dyDescent="0.25">
      <c r="A6" s="7">
        <v>2</v>
      </c>
      <c r="B6" s="7" t="s">
        <v>2</v>
      </c>
      <c r="C6" s="7" t="s">
        <v>2</v>
      </c>
      <c r="D6" s="7" t="s">
        <v>5</v>
      </c>
      <c r="E6" s="7" t="s">
        <v>4</v>
      </c>
      <c r="F6" s="17">
        <v>43117.047581018516</v>
      </c>
      <c r="G6" s="20">
        <v>-5</v>
      </c>
      <c r="H6" s="8">
        <f t="shared" ref="H6:H19" si="0">F6+G6/24</f>
        <v>43116.83924768518</v>
      </c>
      <c r="I6" s="9">
        <v>116</v>
      </c>
      <c r="J6" s="9">
        <v>15830</v>
      </c>
      <c r="K6" s="26">
        <f t="shared" ref="K6:K31" si="1">I6*J6^2/2/4.184/10^12</f>
        <v>3.4737467017208409E-3</v>
      </c>
      <c r="L6" s="9">
        <v>301.25869999999998</v>
      </c>
      <c r="M6" s="9">
        <v>24.134599999999999</v>
      </c>
      <c r="N6" s="9" t="s">
        <v>1334</v>
      </c>
      <c r="O6" s="9">
        <v>42.451000000000001</v>
      </c>
      <c r="P6" s="9">
        <v>-83.856999999999999</v>
      </c>
      <c r="Q6" s="9">
        <v>19730</v>
      </c>
      <c r="R6" s="9">
        <v>19730</v>
      </c>
      <c r="S6" s="9">
        <v>6</v>
      </c>
      <c r="T6" s="9">
        <v>23.86</v>
      </c>
      <c r="U6" s="9">
        <v>19730</v>
      </c>
      <c r="V6" s="9" t="s">
        <v>79</v>
      </c>
      <c r="W6" s="9" t="s">
        <v>215</v>
      </c>
      <c r="X6" s="9">
        <v>3697</v>
      </c>
      <c r="Y6" s="3">
        <v>60000</v>
      </c>
      <c r="Z6" s="3">
        <v>60000</v>
      </c>
      <c r="AA6" s="10">
        <v>50</v>
      </c>
      <c r="AB6" s="10">
        <v>0.1273</v>
      </c>
      <c r="AC6" s="10">
        <v>6.9500000000000006E-2</v>
      </c>
      <c r="AD6" s="10">
        <v>1E-4</v>
      </c>
      <c r="AE6" s="10">
        <v>2.0000000000000001E-4</v>
      </c>
      <c r="AF6" s="10">
        <v>10</v>
      </c>
      <c r="AG6" s="10">
        <v>0</v>
      </c>
      <c r="AH6" s="10">
        <v>0.85</v>
      </c>
      <c r="AI6" s="44" t="s">
        <v>1320</v>
      </c>
      <c r="AJ6" s="44">
        <v>0</v>
      </c>
      <c r="AK6" s="44"/>
      <c r="AL6" s="22">
        <v>0</v>
      </c>
      <c r="AM6" s="22">
        <v>26</v>
      </c>
      <c r="AN6" s="23">
        <v>0.57099999999999995</v>
      </c>
      <c r="AO6" s="23">
        <v>0</v>
      </c>
      <c r="AP6" s="23">
        <v>0</v>
      </c>
      <c r="AQ6" s="23">
        <v>0</v>
      </c>
      <c r="AR6" s="23">
        <v>0</v>
      </c>
      <c r="AS6" s="54">
        <v>0</v>
      </c>
      <c r="AT6" s="52">
        <v>0</v>
      </c>
      <c r="AU6" s="52">
        <v>0</v>
      </c>
      <c r="AV6" s="52">
        <v>0</v>
      </c>
      <c r="BG6" s="40">
        <v>4</v>
      </c>
      <c r="BH6" s="40" t="s">
        <v>1415</v>
      </c>
      <c r="BI6" s="40">
        <v>0</v>
      </c>
    </row>
    <row r="7" spans="1:61" x14ac:dyDescent="0.25">
      <c r="A7" s="7">
        <v>3</v>
      </c>
      <c r="B7" s="7" t="s">
        <v>57</v>
      </c>
      <c r="C7" s="7" t="s">
        <v>57</v>
      </c>
      <c r="D7" s="7" t="s">
        <v>56</v>
      </c>
      <c r="E7" s="7" t="s">
        <v>4</v>
      </c>
      <c r="F7" s="17">
        <v>43596.196527777778</v>
      </c>
      <c r="G7" s="20">
        <v>-4</v>
      </c>
      <c r="H7" s="8">
        <f t="shared" si="0"/>
        <v>43596.029861111114</v>
      </c>
      <c r="I7" s="9">
        <v>20</v>
      </c>
      <c r="J7" s="9">
        <v>21500</v>
      </c>
      <c r="K7" s="26">
        <f t="shared" si="1"/>
        <v>1.1048040152963671E-3</v>
      </c>
      <c r="L7" s="9">
        <v>165.6</v>
      </c>
      <c r="M7" s="9">
        <v>70</v>
      </c>
      <c r="N7" s="9" t="s">
        <v>1334</v>
      </c>
      <c r="O7" s="9">
        <v>41.573880000000003</v>
      </c>
      <c r="P7" s="9">
        <v>-86.422524999999993</v>
      </c>
      <c r="Q7" s="9">
        <v>28580</v>
      </c>
      <c r="R7" s="9">
        <v>29580</v>
      </c>
      <c r="S7" s="9">
        <v>21500</v>
      </c>
      <c r="T7" s="9">
        <v>70</v>
      </c>
      <c r="U7" s="9">
        <v>28000</v>
      </c>
      <c r="V7" s="9" t="s">
        <v>81</v>
      </c>
      <c r="W7" s="9" t="s">
        <v>382</v>
      </c>
      <c r="X7" s="9">
        <v>0</v>
      </c>
      <c r="Y7" s="3">
        <v>85000</v>
      </c>
      <c r="Z7" s="3">
        <v>85000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-1.5</v>
      </c>
      <c r="AH7" s="10">
        <v>1.5</v>
      </c>
      <c r="AI7" s="44" t="s">
        <v>1320</v>
      </c>
      <c r="AJ7" s="44">
        <v>0</v>
      </c>
      <c r="AK7" s="44"/>
      <c r="AL7" s="22">
        <v>0</v>
      </c>
      <c r="AM7" s="22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54">
        <v>0</v>
      </c>
      <c r="AT7" s="52">
        <v>0</v>
      </c>
      <c r="AU7" s="52">
        <v>0</v>
      </c>
      <c r="AV7" s="52">
        <v>0</v>
      </c>
      <c r="BG7" s="40">
        <v>3</v>
      </c>
      <c r="BH7" s="40" t="s">
        <v>1416</v>
      </c>
      <c r="BI7" s="40">
        <v>0</v>
      </c>
    </row>
    <row r="8" spans="1:61" x14ac:dyDescent="0.25">
      <c r="A8" s="6">
        <v>4</v>
      </c>
      <c r="B8" s="6" t="s">
        <v>60</v>
      </c>
      <c r="C8" s="6" t="s">
        <v>60</v>
      </c>
      <c r="D8" s="6" t="s">
        <v>61</v>
      </c>
      <c r="E8" s="6" t="s">
        <v>4</v>
      </c>
      <c r="F8" s="17">
        <v>37707.243361111112</v>
      </c>
      <c r="G8" s="20">
        <v>-6</v>
      </c>
      <c r="H8" s="8">
        <f t="shared" si="0"/>
        <v>37706.993361111112</v>
      </c>
      <c r="I8" s="3">
        <v>9023</v>
      </c>
      <c r="J8" s="3">
        <v>19500</v>
      </c>
      <c r="K8" s="26">
        <f t="shared" si="1"/>
        <v>0.41001383245697892</v>
      </c>
      <c r="L8" s="3">
        <v>21</v>
      </c>
      <c r="M8" s="3">
        <v>29</v>
      </c>
      <c r="N8" s="3" t="s">
        <v>1334</v>
      </c>
      <c r="O8" s="3">
        <v>41.46</v>
      </c>
      <c r="P8" s="3">
        <v>-87.73</v>
      </c>
      <c r="Q8" s="3">
        <v>18000</v>
      </c>
      <c r="R8" s="3">
        <v>19000</v>
      </c>
      <c r="S8" s="3">
        <v>19500</v>
      </c>
      <c r="T8" s="3">
        <v>29</v>
      </c>
      <c r="U8" s="3">
        <v>17000</v>
      </c>
      <c r="V8" s="9" t="s">
        <v>115</v>
      </c>
      <c r="W8" s="9" t="s">
        <v>244</v>
      </c>
      <c r="X8" s="9">
        <v>3370</v>
      </c>
      <c r="Y8" s="3">
        <v>85000</v>
      </c>
      <c r="Z8" s="3">
        <v>85000</v>
      </c>
      <c r="AA8" s="5">
        <v>300</v>
      </c>
      <c r="AB8" s="5">
        <v>0</v>
      </c>
      <c r="AC8" s="5">
        <v>0</v>
      </c>
      <c r="AD8" s="5">
        <v>0</v>
      </c>
      <c r="AE8" s="5">
        <v>0</v>
      </c>
      <c r="AF8" s="5">
        <v>300</v>
      </c>
      <c r="AG8" s="10">
        <v>-1</v>
      </c>
      <c r="AH8" s="10">
        <v>1</v>
      </c>
      <c r="AI8" s="44" t="s">
        <v>1320</v>
      </c>
      <c r="AJ8" s="44">
        <v>0</v>
      </c>
      <c r="AK8" s="44"/>
      <c r="AL8" s="23">
        <v>34.17</v>
      </c>
      <c r="AM8" s="23">
        <v>133</v>
      </c>
      <c r="AN8" s="23">
        <v>18</v>
      </c>
      <c r="AO8" s="23">
        <v>0</v>
      </c>
      <c r="AP8" s="23">
        <v>0</v>
      </c>
      <c r="AQ8" s="23">
        <v>0</v>
      </c>
      <c r="AR8" s="25">
        <f>AM8/AL8</f>
        <v>3.8923031899326892</v>
      </c>
      <c r="AS8" s="54">
        <f>AN8/AL8*1000</f>
        <v>526.77787532923617</v>
      </c>
      <c r="AT8" s="52">
        <v>899.3</v>
      </c>
      <c r="AU8" s="52">
        <v>27</v>
      </c>
      <c r="AV8" s="52">
        <f>AT8/AU8*1000</f>
        <v>33307.407407407401</v>
      </c>
      <c r="AW8" s="38">
        <v>14</v>
      </c>
      <c r="AX8" s="38">
        <v>5</v>
      </c>
      <c r="AY8" s="38">
        <v>24</v>
      </c>
      <c r="AZ8" s="38">
        <v>59</v>
      </c>
      <c r="BA8" s="38">
        <v>60</v>
      </c>
      <c r="BB8" s="38" t="s">
        <v>259</v>
      </c>
      <c r="BC8" s="38">
        <v>36</v>
      </c>
      <c r="BD8" s="38" t="s">
        <v>259</v>
      </c>
      <c r="BE8" s="38" t="s">
        <v>259</v>
      </c>
      <c r="BF8" s="38" t="s">
        <v>259</v>
      </c>
      <c r="BG8" s="40">
        <v>3</v>
      </c>
      <c r="BH8" s="40" t="s">
        <v>1416</v>
      </c>
      <c r="BI8" s="40">
        <v>0</v>
      </c>
    </row>
    <row r="9" spans="1:61" x14ac:dyDescent="0.25">
      <c r="A9" s="7">
        <v>5</v>
      </c>
      <c r="B9" s="6" t="s">
        <v>380</v>
      </c>
      <c r="C9" s="6" t="s">
        <v>380</v>
      </c>
      <c r="D9" s="6" t="s">
        <v>58</v>
      </c>
      <c r="E9" s="6" t="s">
        <v>4</v>
      </c>
      <c r="F9" s="17">
        <v>40763.223611111112</v>
      </c>
      <c r="G9" s="20">
        <v>-4</v>
      </c>
      <c r="H9" s="8">
        <f t="shared" si="0"/>
        <v>40763.056944444448</v>
      </c>
      <c r="I9" s="3">
        <v>5</v>
      </c>
      <c r="J9" s="3">
        <v>25000</v>
      </c>
      <c r="K9" s="26">
        <f t="shared" si="1"/>
        <v>3.7344646271510515E-4</v>
      </c>
      <c r="L9" s="3">
        <v>158.80000000000001</v>
      </c>
      <c r="M9" s="3">
        <v>52.4</v>
      </c>
      <c r="N9" s="3" t="s">
        <v>1334</v>
      </c>
      <c r="O9" s="3">
        <v>41.411000000000001</v>
      </c>
      <c r="P9" s="3">
        <v>-80.667000000000002</v>
      </c>
      <c r="Q9" s="3">
        <v>38000</v>
      </c>
      <c r="R9" s="3">
        <v>39000</v>
      </c>
      <c r="S9" s="3">
        <v>25000</v>
      </c>
      <c r="T9" s="3">
        <v>52.4</v>
      </c>
      <c r="U9" s="3">
        <v>21000</v>
      </c>
      <c r="V9" s="9" t="s">
        <v>81</v>
      </c>
      <c r="W9" s="9" t="s">
        <v>382</v>
      </c>
      <c r="X9" s="9">
        <v>0</v>
      </c>
      <c r="Y9" s="3">
        <v>85000</v>
      </c>
      <c r="Z9" s="3">
        <v>85000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10">
        <v>-1.5</v>
      </c>
      <c r="AH9" s="10">
        <v>1.5</v>
      </c>
      <c r="AI9" s="44" t="s">
        <v>1320</v>
      </c>
      <c r="AJ9" s="44">
        <v>0</v>
      </c>
      <c r="AK9" s="44"/>
      <c r="AL9" s="23">
        <v>0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54">
        <v>0</v>
      </c>
      <c r="AT9" s="52">
        <v>0</v>
      </c>
      <c r="AU9" s="52">
        <v>0</v>
      </c>
      <c r="AV9" s="52">
        <v>0</v>
      </c>
      <c r="BG9" s="40">
        <v>3</v>
      </c>
      <c r="BH9" s="40" t="s">
        <v>1416</v>
      </c>
      <c r="BI9" s="40">
        <v>0</v>
      </c>
    </row>
    <row r="10" spans="1:61" x14ac:dyDescent="0.25">
      <c r="A10" s="7">
        <v>6</v>
      </c>
      <c r="B10" s="6" t="s">
        <v>59</v>
      </c>
      <c r="C10" s="6" t="s">
        <v>59</v>
      </c>
      <c r="D10" s="6" t="s">
        <v>55</v>
      </c>
      <c r="E10" s="6" t="s">
        <v>4</v>
      </c>
      <c r="F10" s="17">
        <v>43606.107303240744</v>
      </c>
      <c r="G10" s="20">
        <v>-4</v>
      </c>
      <c r="H10" s="8">
        <f t="shared" si="0"/>
        <v>43605.94063657408</v>
      </c>
      <c r="I10" s="3">
        <v>10</v>
      </c>
      <c r="J10" s="3">
        <v>13600</v>
      </c>
      <c r="K10" s="26">
        <f t="shared" si="1"/>
        <v>2.210325047801147E-4</v>
      </c>
      <c r="L10" s="3">
        <v>49.09</v>
      </c>
      <c r="M10" s="3">
        <v>28.71</v>
      </c>
      <c r="N10" s="3" t="s">
        <v>104</v>
      </c>
      <c r="O10" s="3">
        <v>36.847999999999999</v>
      </c>
      <c r="P10" s="3">
        <v>-82.141999999999996</v>
      </c>
      <c r="Q10" s="3">
        <v>31100</v>
      </c>
      <c r="R10" s="3">
        <v>31100</v>
      </c>
      <c r="S10" s="3">
        <v>13600</v>
      </c>
      <c r="T10" s="3">
        <v>28.71</v>
      </c>
      <c r="U10" s="3">
        <v>30100</v>
      </c>
      <c r="V10" s="3" t="s">
        <v>144</v>
      </c>
      <c r="W10" s="9" t="s">
        <v>382</v>
      </c>
      <c r="X10" s="3">
        <v>0</v>
      </c>
      <c r="Y10" s="3">
        <v>60000</v>
      </c>
      <c r="Z10" s="3">
        <v>60000</v>
      </c>
      <c r="AA10" s="5">
        <v>900</v>
      </c>
      <c r="AB10" s="5">
        <v>18.2</v>
      </c>
      <c r="AC10" s="5">
        <v>7.7</v>
      </c>
      <c r="AD10" s="5">
        <v>0.02</v>
      </c>
      <c r="AE10" s="5">
        <v>0.02</v>
      </c>
      <c r="AF10" s="5">
        <v>1000</v>
      </c>
      <c r="AG10" s="10">
        <v>-1.5</v>
      </c>
      <c r="AH10" s="10">
        <v>1.5</v>
      </c>
      <c r="AI10" s="44" t="s">
        <v>1320</v>
      </c>
      <c r="AJ10" s="44">
        <v>0</v>
      </c>
      <c r="AK10" s="44"/>
      <c r="AL10" s="23">
        <v>0</v>
      </c>
      <c r="AM10" s="23">
        <v>0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54">
        <v>0</v>
      </c>
      <c r="AT10" s="52">
        <v>0</v>
      </c>
      <c r="AU10" s="52">
        <v>0</v>
      </c>
      <c r="AV10" s="52">
        <v>0</v>
      </c>
      <c r="BG10" s="40">
        <v>3</v>
      </c>
      <c r="BH10" s="40" t="s">
        <v>1416</v>
      </c>
      <c r="BI10" s="40">
        <v>0</v>
      </c>
    </row>
    <row r="11" spans="1:61" x14ac:dyDescent="0.25">
      <c r="A11" s="6">
        <v>7</v>
      </c>
      <c r="B11" s="6" t="s">
        <v>1597</v>
      </c>
      <c r="C11" s="6" t="s">
        <v>1597</v>
      </c>
      <c r="D11" s="6" t="s">
        <v>62</v>
      </c>
      <c r="E11" s="6" t="s">
        <v>62</v>
      </c>
      <c r="F11" s="17">
        <v>41647.712199074071</v>
      </c>
      <c r="G11" s="20">
        <v>10</v>
      </c>
      <c r="H11" s="8">
        <f t="shared" si="0"/>
        <v>41648.128865740735</v>
      </c>
      <c r="I11" s="3">
        <v>458</v>
      </c>
      <c r="J11" s="3">
        <v>44832</v>
      </c>
      <c r="K11" s="26">
        <f t="shared" si="1"/>
        <v>0.11000692717399617</v>
      </c>
      <c r="L11" s="3">
        <v>105.5968</v>
      </c>
      <c r="M11" s="3">
        <v>63.221283423682337</v>
      </c>
      <c r="N11" s="3" t="s">
        <v>1270</v>
      </c>
      <c r="O11" s="3">
        <v>-1.3</v>
      </c>
      <c r="P11" s="3">
        <v>147.6</v>
      </c>
      <c r="Q11" s="3">
        <v>18700</v>
      </c>
      <c r="R11" s="3">
        <v>18700</v>
      </c>
      <c r="S11" s="3">
        <v>5</v>
      </c>
      <c r="T11" s="3">
        <f>M11</f>
        <v>63.221283423682337</v>
      </c>
      <c r="U11" s="3">
        <v>16680</v>
      </c>
      <c r="V11" s="3" t="s">
        <v>1360</v>
      </c>
      <c r="W11" s="3" t="s">
        <v>382</v>
      </c>
      <c r="X11" s="3">
        <v>0</v>
      </c>
      <c r="Y11" s="3">
        <v>60000</v>
      </c>
      <c r="Z11" s="3">
        <v>60000</v>
      </c>
      <c r="AA11" s="5">
        <v>196</v>
      </c>
      <c r="AB11" s="5">
        <v>0.28100000000000003</v>
      </c>
      <c r="AC11" s="5">
        <v>0.251</v>
      </c>
      <c r="AD11" s="5">
        <v>0.05</v>
      </c>
      <c r="AE11" s="5">
        <v>0.05</v>
      </c>
      <c r="AF11" s="5">
        <v>500</v>
      </c>
      <c r="AG11" s="10">
        <v>-1.5</v>
      </c>
      <c r="AH11" s="10">
        <v>1.5</v>
      </c>
      <c r="AI11" s="44" t="s">
        <v>1320</v>
      </c>
      <c r="AJ11" s="44">
        <v>0</v>
      </c>
      <c r="AK11" s="44"/>
      <c r="AL11" s="23">
        <v>0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54">
        <v>0</v>
      </c>
      <c r="AT11" s="52">
        <v>0</v>
      </c>
      <c r="AU11" s="52">
        <v>0</v>
      </c>
      <c r="AV11" s="52">
        <v>0</v>
      </c>
      <c r="BG11" s="40">
        <v>2</v>
      </c>
      <c r="BH11" s="40" t="s">
        <v>1416</v>
      </c>
      <c r="BI11" s="40">
        <v>0</v>
      </c>
    </row>
    <row r="12" spans="1:61" x14ac:dyDescent="0.25">
      <c r="A12" s="7">
        <v>8</v>
      </c>
      <c r="B12" s="6" t="s">
        <v>64</v>
      </c>
      <c r="C12" s="6" t="s">
        <v>64</v>
      </c>
      <c r="D12" s="6" t="s">
        <v>66</v>
      </c>
      <c r="E12" s="6" t="s">
        <v>63</v>
      </c>
      <c r="F12" s="17">
        <v>42189.069571759261</v>
      </c>
      <c r="G12" s="20">
        <v>8</v>
      </c>
      <c r="H12" s="8">
        <f t="shared" si="0"/>
        <v>42189.402905092596</v>
      </c>
      <c r="I12" s="3">
        <v>627</v>
      </c>
      <c r="J12" s="3">
        <v>49000</v>
      </c>
      <c r="K12" s="26">
        <f t="shared" si="1"/>
        <v>0.17990284416826005</v>
      </c>
      <c r="L12" s="3">
        <v>69.91273267281943</v>
      </c>
      <c r="M12" s="3">
        <v>10.367100934087659</v>
      </c>
      <c r="N12" s="3" t="s">
        <v>1270</v>
      </c>
      <c r="O12" s="3">
        <v>38.6</v>
      </c>
      <c r="P12" s="3">
        <v>103.1</v>
      </c>
      <c r="Q12" s="3">
        <v>46300</v>
      </c>
      <c r="R12" s="3">
        <v>46300</v>
      </c>
      <c r="S12" s="3">
        <v>49000</v>
      </c>
      <c r="T12" s="3">
        <v>10.367100934087659</v>
      </c>
      <c r="U12" s="3">
        <v>10000</v>
      </c>
      <c r="V12" s="3" t="s">
        <v>81</v>
      </c>
      <c r="W12" s="3" t="s">
        <v>382</v>
      </c>
      <c r="X12" s="3">
        <v>0</v>
      </c>
      <c r="Y12" s="3">
        <v>85000</v>
      </c>
      <c r="Z12" s="3">
        <v>85000</v>
      </c>
      <c r="AA12" s="5">
        <f>J12*0.05</f>
        <v>2450</v>
      </c>
      <c r="AB12" s="5">
        <v>15</v>
      </c>
      <c r="AC12" s="5">
        <v>1.2</v>
      </c>
      <c r="AD12" s="5">
        <v>0.05</v>
      </c>
      <c r="AE12" s="5">
        <v>0.05</v>
      </c>
      <c r="AF12" s="5">
        <f>0.05*Q12</f>
        <v>2315</v>
      </c>
      <c r="AG12" s="10">
        <v>-1.5</v>
      </c>
      <c r="AH12" s="10">
        <v>1.5</v>
      </c>
      <c r="AI12" s="44" t="s">
        <v>1320</v>
      </c>
      <c r="AJ12" s="44">
        <v>0</v>
      </c>
      <c r="AK12" s="44"/>
      <c r="AL12" s="23">
        <v>0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54">
        <v>0</v>
      </c>
      <c r="AT12" s="52">
        <v>0</v>
      </c>
      <c r="AU12" s="52">
        <v>0</v>
      </c>
      <c r="AV12" s="52">
        <v>0</v>
      </c>
      <c r="BG12" s="40">
        <v>2</v>
      </c>
      <c r="BH12" s="40" t="s">
        <v>1416</v>
      </c>
      <c r="BI12" s="40">
        <v>0</v>
      </c>
    </row>
    <row r="13" spans="1:61" x14ac:dyDescent="0.25">
      <c r="A13" s="6">
        <v>9</v>
      </c>
      <c r="B13" s="6" t="s">
        <v>67</v>
      </c>
      <c r="C13" s="6" t="s">
        <v>68</v>
      </c>
      <c r="D13" s="6" t="s">
        <v>69</v>
      </c>
      <c r="E13" s="6" t="s">
        <v>4</v>
      </c>
      <c r="F13" s="17">
        <v>39630.736331018517</v>
      </c>
      <c r="G13" s="20">
        <v>-7</v>
      </c>
      <c r="H13" s="8">
        <f t="shared" si="0"/>
        <v>39630.444664351853</v>
      </c>
      <c r="I13" s="3">
        <v>10455</v>
      </c>
      <c r="J13" s="3">
        <v>9800</v>
      </c>
      <c r="K13" s="26">
        <f t="shared" si="1"/>
        <v>0.11999261472275334</v>
      </c>
      <c r="L13" s="3">
        <v>162.55053012274499</v>
      </c>
      <c r="M13" s="3">
        <v>37.576681130695825</v>
      </c>
      <c r="N13" s="3" t="s">
        <v>1270</v>
      </c>
      <c r="O13" s="3">
        <v>37.1</v>
      </c>
      <c r="P13" s="3">
        <v>-115.7</v>
      </c>
      <c r="Q13" s="3">
        <v>36100</v>
      </c>
      <c r="R13" s="3">
        <v>36100</v>
      </c>
      <c r="S13" s="3">
        <v>9800</v>
      </c>
      <c r="T13" s="3">
        <v>37.576681130695825</v>
      </c>
      <c r="U13" s="3">
        <v>18000</v>
      </c>
      <c r="V13" s="3" t="s">
        <v>81</v>
      </c>
      <c r="W13" s="3" t="s">
        <v>382</v>
      </c>
      <c r="X13" s="3">
        <v>0</v>
      </c>
      <c r="Y13" s="3">
        <v>85000</v>
      </c>
      <c r="Z13" s="3">
        <v>85000</v>
      </c>
      <c r="AA13" s="5">
        <v>490</v>
      </c>
      <c r="AB13" s="5">
        <v>0</v>
      </c>
      <c r="AC13" s="5">
        <v>0</v>
      </c>
      <c r="AD13" s="5">
        <v>0.05</v>
      </c>
      <c r="AE13" s="5">
        <v>0.05</v>
      </c>
      <c r="AF13" s="5">
        <v>50</v>
      </c>
      <c r="AG13" s="10">
        <v>-1.5</v>
      </c>
      <c r="AH13" s="10">
        <v>1.5</v>
      </c>
      <c r="AI13" s="44" t="s">
        <v>1320</v>
      </c>
      <c r="AJ13" s="44">
        <v>0</v>
      </c>
      <c r="AK13" s="44"/>
      <c r="AL13" s="23">
        <v>0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54">
        <v>0</v>
      </c>
      <c r="AT13" s="52">
        <v>0</v>
      </c>
      <c r="AU13" s="52">
        <v>0</v>
      </c>
      <c r="AV13" s="52">
        <v>0</v>
      </c>
      <c r="BG13" s="40">
        <v>2</v>
      </c>
      <c r="BH13" s="40" t="s">
        <v>1416</v>
      </c>
      <c r="BI13" s="40">
        <v>0</v>
      </c>
    </row>
    <row r="14" spans="1:61" x14ac:dyDescent="0.25">
      <c r="A14" s="7">
        <v>10</v>
      </c>
      <c r="B14" s="6" t="s">
        <v>90</v>
      </c>
      <c r="C14" s="6" t="s">
        <v>90</v>
      </c>
      <c r="D14" s="6" t="s">
        <v>70</v>
      </c>
      <c r="E14" s="6" t="s">
        <v>71</v>
      </c>
      <c r="F14" s="17">
        <v>43623.061111111114</v>
      </c>
      <c r="G14" s="20">
        <v>-3</v>
      </c>
      <c r="H14" s="8">
        <f t="shared" si="0"/>
        <v>43622.936111111114</v>
      </c>
      <c r="I14" s="3">
        <v>3249</v>
      </c>
      <c r="J14" s="3">
        <v>14800</v>
      </c>
      <c r="K14" s="26">
        <f t="shared" si="1"/>
        <v>8.504552581261951E-2</v>
      </c>
      <c r="L14" s="3">
        <v>149.93</v>
      </c>
      <c r="M14" s="3">
        <v>79.048165062751124</v>
      </c>
      <c r="N14" s="3" t="s">
        <v>72</v>
      </c>
      <c r="O14" s="3">
        <v>-29.29626</v>
      </c>
      <c r="P14" s="3">
        <v>-54.297049999999999</v>
      </c>
      <c r="Q14" s="3">
        <v>27170</v>
      </c>
      <c r="R14" s="3">
        <v>30100</v>
      </c>
      <c r="S14" s="3">
        <v>14800</v>
      </c>
      <c r="T14" s="3">
        <v>79.048165062751124</v>
      </c>
      <c r="U14" s="3">
        <v>26500</v>
      </c>
      <c r="V14" s="3" t="s">
        <v>81</v>
      </c>
      <c r="W14" s="9" t="s">
        <v>382</v>
      </c>
      <c r="X14" s="3">
        <v>0</v>
      </c>
      <c r="Y14" s="3">
        <v>104690</v>
      </c>
      <c r="Z14" s="3">
        <v>85000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10">
        <v>-1.5</v>
      </c>
      <c r="AH14" s="10">
        <v>1.5</v>
      </c>
      <c r="AI14" s="44" t="s">
        <v>1320</v>
      </c>
      <c r="AJ14" s="44">
        <v>0</v>
      </c>
      <c r="AK14" s="44"/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54">
        <v>0</v>
      </c>
      <c r="AT14" s="52">
        <v>0</v>
      </c>
      <c r="AU14" s="52">
        <v>0</v>
      </c>
      <c r="AV14" s="52">
        <v>0</v>
      </c>
      <c r="BG14" s="40">
        <v>3</v>
      </c>
      <c r="BH14" s="40" t="s">
        <v>1416</v>
      </c>
      <c r="BI14" s="40">
        <v>0</v>
      </c>
    </row>
    <row r="15" spans="1:61" x14ac:dyDescent="0.25">
      <c r="A15" s="6">
        <v>11</v>
      </c>
      <c r="B15" s="6" t="s">
        <v>91</v>
      </c>
      <c r="C15" s="6" t="s">
        <v>92</v>
      </c>
      <c r="D15" s="6" t="s">
        <v>58</v>
      </c>
      <c r="E15" s="6" t="s">
        <v>4</v>
      </c>
      <c r="F15" s="17">
        <v>40000.211631944447</v>
      </c>
      <c r="G15" s="20">
        <v>-4</v>
      </c>
      <c r="H15" s="8">
        <f t="shared" si="0"/>
        <v>40000.044965277782</v>
      </c>
      <c r="I15" s="3">
        <v>370</v>
      </c>
      <c r="J15" s="3">
        <v>11000</v>
      </c>
      <c r="K15" s="26">
        <f t="shared" si="1"/>
        <v>5.3501434034416828E-3</v>
      </c>
      <c r="L15" s="3">
        <v>26.15</v>
      </c>
      <c r="M15" s="3">
        <v>49.556575067343871</v>
      </c>
      <c r="N15" s="3" t="s">
        <v>1334</v>
      </c>
      <c r="O15" s="3">
        <v>39.905811999999997</v>
      </c>
      <c r="P15" s="3">
        <v>-76.219842</v>
      </c>
      <c r="Q15" s="3">
        <v>24091.116192321384</v>
      </c>
      <c r="R15" s="3">
        <v>25000</v>
      </c>
      <c r="S15" s="3">
        <v>11000</v>
      </c>
      <c r="T15" s="3">
        <v>49.556575067343871</v>
      </c>
      <c r="U15" s="3">
        <v>20000</v>
      </c>
      <c r="V15" s="3" t="s">
        <v>81</v>
      </c>
      <c r="W15" s="9" t="s">
        <v>382</v>
      </c>
      <c r="X15" s="3">
        <v>0</v>
      </c>
      <c r="Y15" s="3">
        <v>90000</v>
      </c>
      <c r="Z15" s="3">
        <v>85000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10">
        <v>-1.5</v>
      </c>
      <c r="AH15" s="10">
        <v>1.5</v>
      </c>
      <c r="AI15" s="44" t="s">
        <v>1320</v>
      </c>
      <c r="AJ15" s="44">
        <v>0</v>
      </c>
      <c r="AK15" s="44"/>
      <c r="AL15" s="23">
        <v>0</v>
      </c>
      <c r="AM15" s="23">
        <v>0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54">
        <v>0</v>
      </c>
      <c r="AT15" s="52">
        <v>0</v>
      </c>
      <c r="AU15" s="52">
        <v>0</v>
      </c>
      <c r="AV15" s="52">
        <v>0</v>
      </c>
      <c r="BG15" s="40">
        <v>3</v>
      </c>
      <c r="BH15" s="40" t="s">
        <v>1416</v>
      </c>
      <c r="BI15" s="40">
        <v>0</v>
      </c>
    </row>
    <row r="16" spans="1:61" x14ac:dyDescent="0.25">
      <c r="A16" s="7">
        <v>12</v>
      </c>
      <c r="B16" s="6" t="s">
        <v>98</v>
      </c>
      <c r="C16" s="6" t="s">
        <v>98</v>
      </c>
      <c r="D16" s="6" t="s">
        <v>99</v>
      </c>
      <c r="E16" s="6" t="s">
        <v>100</v>
      </c>
      <c r="F16" s="17">
        <v>43604.616006944445</v>
      </c>
      <c r="G16" s="20">
        <v>9.5</v>
      </c>
      <c r="H16" s="8">
        <f t="shared" si="0"/>
        <v>43605.011840277781</v>
      </c>
      <c r="I16" s="3">
        <v>3984</v>
      </c>
      <c r="J16" s="3">
        <v>15200</v>
      </c>
      <c r="K16" s="26">
        <f t="shared" si="1"/>
        <v>0.10999801147227532</v>
      </c>
      <c r="L16" s="3">
        <v>103.65805840961033</v>
      </c>
      <c r="M16" s="3">
        <v>11.474170043358667</v>
      </c>
      <c r="N16" s="3" t="s">
        <v>1270</v>
      </c>
      <c r="O16" s="3">
        <v>-23.6</v>
      </c>
      <c r="P16" s="3">
        <v>132.80000000000001</v>
      </c>
      <c r="Q16" s="3">
        <v>33300</v>
      </c>
      <c r="R16" s="3">
        <v>33300</v>
      </c>
      <c r="S16" s="3">
        <v>15200</v>
      </c>
      <c r="T16" s="3">
        <v>11.474170043358667</v>
      </c>
      <c r="U16" s="3">
        <v>20000</v>
      </c>
      <c r="V16" s="3" t="s">
        <v>81</v>
      </c>
      <c r="W16" s="3" t="s">
        <v>382</v>
      </c>
      <c r="X16" s="3">
        <v>0</v>
      </c>
      <c r="Y16" s="3">
        <v>85000</v>
      </c>
      <c r="Z16" s="3">
        <v>85000</v>
      </c>
      <c r="AA16" s="5">
        <v>500</v>
      </c>
      <c r="AB16" s="5">
        <v>3</v>
      </c>
      <c r="AC16" s="5">
        <v>3</v>
      </c>
      <c r="AD16" s="5">
        <v>0.05</v>
      </c>
      <c r="AE16" s="5">
        <v>0.05</v>
      </c>
      <c r="AF16" s="5">
        <v>500</v>
      </c>
      <c r="AG16" s="10">
        <v>-1.5</v>
      </c>
      <c r="AH16" s="10">
        <v>1.5</v>
      </c>
      <c r="AI16" s="44" t="s">
        <v>1320</v>
      </c>
      <c r="AJ16" s="44">
        <v>0</v>
      </c>
      <c r="AK16" s="44"/>
      <c r="AL16" s="23">
        <v>0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54">
        <v>0</v>
      </c>
      <c r="AT16" s="52">
        <v>0</v>
      </c>
      <c r="AU16" s="52">
        <v>0</v>
      </c>
      <c r="AV16" s="52">
        <v>0</v>
      </c>
      <c r="BG16" s="40">
        <v>3</v>
      </c>
      <c r="BH16" s="40" t="s">
        <v>1416</v>
      </c>
      <c r="BI16" s="40">
        <v>0</v>
      </c>
    </row>
    <row r="17" spans="1:61" x14ac:dyDescent="0.25">
      <c r="A17" s="6">
        <v>13</v>
      </c>
      <c r="B17" s="6" t="s">
        <v>101</v>
      </c>
      <c r="C17" s="6" t="s">
        <v>102</v>
      </c>
      <c r="D17" s="6" t="s">
        <v>101</v>
      </c>
      <c r="E17" s="6" t="s">
        <v>103</v>
      </c>
      <c r="F17" s="17">
        <v>43670.280324074076</v>
      </c>
      <c r="G17" s="20">
        <v>-4</v>
      </c>
      <c r="H17" s="8">
        <f t="shared" si="0"/>
        <v>43670.113657407412</v>
      </c>
      <c r="I17" s="3">
        <v>50</v>
      </c>
      <c r="J17" s="3">
        <v>20200</v>
      </c>
      <c r="K17" s="26">
        <f t="shared" si="1"/>
        <v>2.4380975143403439E-3</v>
      </c>
      <c r="L17" s="3">
        <v>18.690000000000001</v>
      </c>
      <c r="M17" s="3">
        <v>63.103499999999997</v>
      </c>
      <c r="N17" s="3" t="s">
        <v>104</v>
      </c>
      <c r="O17" s="3">
        <v>44.828000000000003</v>
      </c>
      <c r="P17" s="3">
        <v>-78.153000000000006</v>
      </c>
      <c r="Q17" s="3">
        <v>28900</v>
      </c>
      <c r="R17" s="3">
        <v>29000</v>
      </c>
      <c r="S17" s="3">
        <v>20200</v>
      </c>
      <c r="T17" s="3">
        <v>63.103499999999997</v>
      </c>
      <c r="U17" s="3">
        <v>25000</v>
      </c>
      <c r="V17" s="3" t="s">
        <v>81</v>
      </c>
      <c r="W17" s="9" t="s">
        <v>382</v>
      </c>
      <c r="X17" s="3">
        <v>0</v>
      </c>
      <c r="Y17" s="3">
        <v>85000</v>
      </c>
      <c r="Z17" s="3">
        <v>85000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10">
        <v>-1.5</v>
      </c>
      <c r="AH17" s="10">
        <v>1.5</v>
      </c>
      <c r="AI17" s="44" t="s">
        <v>1320</v>
      </c>
      <c r="AJ17" s="44">
        <v>0</v>
      </c>
      <c r="AK17" s="44"/>
      <c r="AL17" s="23">
        <v>0</v>
      </c>
      <c r="AM17" s="23">
        <v>0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54">
        <v>0</v>
      </c>
      <c r="AT17" s="52">
        <v>0</v>
      </c>
      <c r="AU17" s="52">
        <v>0</v>
      </c>
      <c r="AV17" s="52">
        <v>0</v>
      </c>
      <c r="BG17" s="40">
        <v>2</v>
      </c>
      <c r="BH17" s="40" t="s">
        <v>1416</v>
      </c>
      <c r="BI17" s="40">
        <v>0</v>
      </c>
    </row>
    <row r="18" spans="1:61" x14ac:dyDescent="0.25">
      <c r="A18" s="7">
        <v>14</v>
      </c>
      <c r="B18" s="6" t="s">
        <v>108</v>
      </c>
      <c r="C18" s="6" t="s">
        <v>110</v>
      </c>
      <c r="D18" s="6" t="s">
        <v>109</v>
      </c>
      <c r="E18" s="6" t="s">
        <v>4</v>
      </c>
      <c r="F18" s="17">
        <v>41021.618888888886</v>
      </c>
      <c r="G18" s="20">
        <v>-7</v>
      </c>
      <c r="H18" s="8">
        <f t="shared" si="0"/>
        <v>41021.327222222222</v>
      </c>
      <c r="I18" s="3">
        <v>40000</v>
      </c>
      <c r="J18" s="3">
        <v>28600</v>
      </c>
      <c r="K18" s="26">
        <f t="shared" si="1"/>
        <v>3.9099426386233267</v>
      </c>
      <c r="L18" s="3">
        <v>272.5</v>
      </c>
      <c r="M18" s="3">
        <v>63.7</v>
      </c>
      <c r="N18" s="3" t="s">
        <v>1270</v>
      </c>
      <c r="O18" s="3">
        <v>38.75</v>
      </c>
      <c r="P18" s="3">
        <v>-120.904</v>
      </c>
      <c r="Q18" s="3">
        <v>30100</v>
      </c>
      <c r="R18" s="3">
        <v>30100</v>
      </c>
      <c r="S18" s="3">
        <v>28600</v>
      </c>
      <c r="T18" s="3">
        <v>63.7</v>
      </c>
      <c r="U18" s="3">
        <v>28000</v>
      </c>
      <c r="V18" s="3" t="s">
        <v>111</v>
      </c>
      <c r="W18" s="9" t="s">
        <v>216</v>
      </c>
      <c r="X18" s="3">
        <v>2257</v>
      </c>
      <c r="Y18" s="3">
        <v>85000</v>
      </c>
      <c r="Z18" s="3">
        <v>85000</v>
      </c>
      <c r="AA18" s="5">
        <v>600</v>
      </c>
      <c r="AB18" s="5">
        <v>0.4</v>
      </c>
      <c r="AC18" s="5">
        <v>0.5</v>
      </c>
      <c r="AD18" s="5">
        <v>0</v>
      </c>
      <c r="AE18" s="5">
        <v>0</v>
      </c>
      <c r="AF18" s="5">
        <v>0</v>
      </c>
      <c r="AG18" s="10">
        <v>-1.5</v>
      </c>
      <c r="AH18" s="10">
        <v>0</v>
      </c>
      <c r="AI18" s="44" t="s">
        <v>1320</v>
      </c>
      <c r="AJ18" s="44">
        <v>0</v>
      </c>
      <c r="AK18" s="44"/>
      <c r="AL18" s="23">
        <v>54.6</v>
      </c>
      <c r="AM18" s="23">
        <v>78</v>
      </c>
      <c r="AN18" s="23">
        <v>0.99199999999999999</v>
      </c>
      <c r="AO18" s="23">
        <v>205.2</v>
      </c>
      <c r="AP18" s="23">
        <v>7.1</v>
      </c>
      <c r="AQ18" s="23">
        <v>12.2</v>
      </c>
      <c r="AR18" s="25">
        <f>AM18/AL18</f>
        <v>1.4285714285714286</v>
      </c>
      <c r="AS18" s="54">
        <f>AN18/AL18*1000</f>
        <v>18.168498168498168</v>
      </c>
      <c r="AT18" s="52">
        <v>0</v>
      </c>
      <c r="AU18" s="52">
        <v>0</v>
      </c>
      <c r="AV18" s="52">
        <v>0</v>
      </c>
      <c r="AW18" s="38">
        <v>8.2000000000000003E-2</v>
      </c>
      <c r="AX18" s="38">
        <v>5</v>
      </c>
      <c r="AY18" s="38">
        <v>74</v>
      </c>
      <c r="AZ18" s="38">
        <v>43</v>
      </c>
      <c r="BA18" s="38">
        <v>44</v>
      </c>
      <c r="BB18" s="38">
        <v>0</v>
      </c>
      <c r="BC18" s="38">
        <v>41</v>
      </c>
      <c r="BD18" s="38">
        <v>42</v>
      </c>
      <c r="BE18" s="38">
        <v>0</v>
      </c>
      <c r="BF18" s="38">
        <v>0</v>
      </c>
      <c r="BG18" s="40">
        <v>3</v>
      </c>
      <c r="BH18" s="40" t="s">
        <v>1416</v>
      </c>
      <c r="BI18" s="40">
        <v>0</v>
      </c>
    </row>
    <row r="19" spans="1:61" x14ac:dyDescent="0.25">
      <c r="A19" s="6">
        <v>15</v>
      </c>
      <c r="B19" s="6" t="s">
        <v>112</v>
      </c>
      <c r="C19" s="6" t="s">
        <v>112</v>
      </c>
      <c r="D19" s="6" t="s">
        <v>114</v>
      </c>
      <c r="E19" s="6" t="s">
        <v>113</v>
      </c>
      <c r="F19" s="17">
        <v>41320.139129629628</v>
      </c>
      <c r="G19" s="20">
        <v>5</v>
      </c>
      <c r="H19" s="8">
        <f t="shared" si="0"/>
        <v>41320.347462962964</v>
      </c>
      <c r="I19" s="3">
        <v>10642617</v>
      </c>
      <c r="J19" s="3">
        <v>19160</v>
      </c>
      <c r="K19" s="26">
        <f t="shared" si="1"/>
        <v>466.89343921548755</v>
      </c>
      <c r="L19" s="3">
        <v>283.2</v>
      </c>
      <c r="M19" s="3">
        <v>71.7</v>
      </c>
      <c r="N19" s="3" t="s">
        <v>1270</v>
      </c>
      <c r="O19" s="3">
        <v>54.859000000000002</v>
      </c>
      <c r="P19" s="3">
        <v>61.277999999999999</v>
      </c>
      <c r="Q19" s="3">
        <v>27000</v>
      </c>
      <c r="R19" s="3">
        <v>27100</v>
      </c>
      <c r="S19" s="3">
        <v>19200</v>
      </c>
      <c r="T19" s="3">
        <f>90-18.3</f>
        <v>71.7</v>
      </c>
      <c r="U19" s="3">
        <v>12600</v>
      </c>
      <c r="V19" s="3" t="s">
        <v>115</v>
      </c>
      <c r="W19" s="9" t="s">
        <v>248</v>
      </c>
      <c r="X19" s="3">
        <v>3325</v>
      </c>
      <c r="Y19" s="3">
        <v>97100</v>
      </c>
      <c r="Z19" s="3">
        <v>97100</v>
      </c>
      <c r="AA19" s="5">
        <v>150</v>
      </c>
      <c r="AB19" s="5">
        <v>0.18</v>
      </c>
      <c r="AC19" s="5">
        <v>0.2</v>
      </c>
      <c r="AD19" s="5">
        <v>0</v>
      </c>
      <c r="AE19" s="5">
        <v>0</v>
      </c>
      <c r="AF19" s="5">
        <v>700</v>
      </c>
      <c r="AG19" s="10">
        <v>-1.5</v>
      </c>
      <c r="AH19" s="10">
        <v>1.5</v>
      </c>
      <c r="AI19" s="44" t="s">
        <v>1320</v>
      </c>
      <c r="AJ19" s="44">
        <v>0</v>
      </c>
      <c r="AK19" s="44"/>
      <c r="AL19" s="23">
        <v>121</v>
      </c>
      <c r="AM19" s="23">
        <v>281</v>
      </c>
      <c r="AN19" s="23">
        <v>1000</v>
      </c>
      <c r="AO19" s="23">
        <v>640000</v>
      </c>
      <c r="AP19" s="23">
        <v>0</v>
      </c>
      <c r="AQ19" s="23">
        <v>0</v>
      </c>
      <c r="AR19" s="25">
        <f>AM19/AL19</f>
        <v>2.3223140495867769</v>
      </c>
      <c r="AS19" s="54">
        <f>AN19/AL19*1000</f>
        <v>8264.4628099173551</v>
      </c>
      <c r="AT19" s="52">
        <v>0</v>
      </c>
      <c r="AU19" s="52">
        <v>0</v>
      </c>
      <c r="AV19" s="52">
        <v>0</v>
      </c>
      <c r="AW19" s="38">
        <v>1</v>
      </c>
      <c r="AX19" s="38">
        <v>5</v>
      </c>
      <c r="AY19" s="38">
        <v>75</v>
      </c>
      <c r="AZ19" s="38">
        <v>75</v>
      </c>
      <c r="BA19" s="38">
        <v>76</v>
      </c>
      <c r="BB19" s="38" t="s">
        <v>259</v>
      </c>
      <c r="BC19" s="38">
        <v>14</v>
      </c>
      <c r="BD19" s="38">
        <v>15</v>
      </c>
      <c r="BE19" s="38" t="s">
        <v>259</v>
      </c>
      <c r="BF19" s="38" t="s">
        <v>259</v>
      </c>
      <c r="BG19" s="40">
        <v>3</v>
      </c>
      <c r="BH19" s="40" t="s">
        <v>1416</v>
      </c>
      <c r="BI19" s="40">
        <v>0</v>
      </c>
    </row>
    <row r="20" spans="1:61" x14ac:dyDescent="0.25">
      <c r="A20" s="7">
        <v>15</v>
      </c>
      <c r="B20" s="6" t="s">
        <v>138</v>
      </c>
      <c r="C20" s="6" t="s">
        <v>112</v>
      </c>
      <c r="D20" s="6" t="s">
        <v>114</v>
      </c>
      <c r="E20" s="6" t="s">
        <v>113</v>
      </c>
      <c r="F20" s="17">
        <v>41320.139270833337</v>
      </c>
      <c r="G20" s="20">
        <v>5</v>
      </c>
      <c r="H20" s="8">
        <v>41320.347222222226</v>
      </c>
      <c r="I20" s="3">
        <v>10626000</v>
      </c>
      <c r="J20" s="3">
        <v>18614.2</v>
      </c>
      <c r="K20" s="26">
        <f t="shared" si="1"/>
        <v>439.98400822976106</v>
      </c>
      <c r="L20" s="3">
        <v>279.89589999999998</v>
      </c>
      <c r="M20" s="3">
        <v>74.075699999999998</v>
      </c>
      <c r="N20" s="3" t="s">
        <v>1270</v>
      </c>
      <c r="O20" s="3">
        <v>54.8</v>
      </c>
      <c r="P20" s="3">
        <v>61.1</v>
      </c>
      <c r="Q20" s="3">
        <v>23300</v>
      </c>
      <c r="R20" s="3">
        <v>23300</v>
      </c>
      <c r="S20" s="3">
        <v>18614.2</v>
      </c>
      <c r="T20" s="3">
        <v>74.075699999999998</v>
      </c>
      <c r="U20" s="3">
        <v>12600</v>
      </c>
      <c r="V20" s="3" t="s">
        <v>81</v>
      </c>
      <c r="W20" s="3" t="s">
        <v>382</v>
      </c>
      <c r="X20" s="3">
        <v>0</v>
      </c>
      <c r="Y20" s="3">
        <v>85000</v>
      </c>
      <c r="Z20" s="3">
        <v>85000</v>
      </c>
      <c r="AA20" s="5">
        <v>50</v>
      </c>
      <c r="AB20" s="5">
        <v>0.5</v>
      </c>
      <c r="AC20" s="5">
        <v>0.5</v>
      </c>
      <c r="AD20" s="5">
        <v>0.05</v>
      </c>
      <c r="AE20" s="5">
        <v>0.03</v>
      </c>
      <c r="AF20" s="5">
        <v>50</v>
      </c>
      <c r="AG20" s="10">
        <v>-1.5</v>
      </c>
      <c r="AH20" s="10">
        <v>1.5</v>
      </c>
      <c r="AI20" s="44" t="s">
        <v>1320</v>
      </c>
      <c r="AJ20" s="44">
        <v>0</v>
      </c>
      <c r="AK20" s="44"/>
      <c r="AL20" s="23">
        <v>0</v>
      </c>
      <c r="AM20" s="23">
        <v>0</v>
      </c>
      <c r="AN20" s="23">
        <v>0</v>
      </c>
      <c r="AO20" s="23">
        <v>0</v>
      </c>
      <c r="AP20" s="23">
        <v>0</v>
      </c>
      <c r="AQ20" s="23">
        <v>0</v>
      </c>
      <c r="AR20" s="25">
        <v>0</v>
      </c>
      <c r="AS20" s="54">
        <v>0</v>
      </c>
      <c r="AT20" s="52">
        <v>0</v>
      </c>
      <c r="AU20" s="52">
        <v>0</v>
      </c>
      <c r="AV20" s="52">
        <v>0</v>
      </c>
      <c r="BG20" s="40">
        <v>2</v>
      </c>
      <c r="BH20" s="40" t="s">
        <v>1416</v>
      </c>
      <c r="BI20" s="40">
        <v>0</v>
      </c>
    </row>
    <row r="21" spans="1:61" x14ac:dyDescent="0.25">
      <c r="A21" s="6">
        <v>16</v>
      </c>
      <c r="B21" s="6" t="s">
        <v>116</v>
      </c>
      <c r="C21" s="6" t="s">
        <v>116</v>
      </c>
      <c r="D21" s="6" t="s">
        <v>117</v>
      </c>
      <c r="E21" s="6" t="s">
        <v>4</v>
      </c>
      <c r="F21" s="17">
        <v>43671.127083333333</v>
      </c>
      <c r="G21" s="20">
        <v>-4</v>
      </c>
      <c r="H21" s="8">
        <f t="shared" ref="H21:H31" si="2">F21+G21/24</f>
        <v>43670.960416666669</v>
      </c>
      <c r="I21" s="3">
        <v>10</v>
      </c>
      <c r="J21" s="3">
        <v>30400</v>
      </c>
      <c r="K21" s="26">
        <f t="shared" si="1"/>
        <v>1.104397705544933E-3</v>
      </c>
      <c r="L21" s="3">
        <v>298.16000000000003</v>
      </c>
      <c r="M21" s="3">
        <v>70.900000000000006</v>
      </c>
      <c r="N21" s="3" t="s">
        <v>1334</v>
      </c>
      <c r="O21" s="3">
        <v>41.158000000000001</v>
      </c>
      <c r="P21" s="3">
        <v>-72.394000000000005</v>
      </c>
      <c r="Q21" s="3">
        <v>26370</v>
      </c>
      <c r="R21" s="3">
        <v>26370</v>
      </c>
      <c r="S21" s="3">
        <v>30400</v>
      </c>
      <c r="T21" s="3">
        <v>70.900000000000006</v>
      </c>
      <c r="U21" s="3">
        <v>26300</v>
      </c>
      <c r="V21" s="3" t="s">
        <v>81</v>
      </c>
      <c r="W21" s="9" t="s">
        <v>382</v>
      </c>
      <c r="X21" s="3">
        <v>0</v>
      </c>
      <c r="Y21" s="3">
        <v>85000</v>
      </c>
      <c r="Z21" s="3">
        <v>85000</v>
      </c>
      <c r="AA21" s="5">
        <v>3000</v>
      </c>
      <c r="AB21" s="5">
        <v>2</v>
      </c>
      <c r="AC21" s="5">
        <v>0.3</v>
      </c>
      <c r="AD21" s="5">
        <v>0</v>
      </c>
      <c r="AE21" s="5">
        <v>0</v>
      </c>
      <c r="AF21" s="5">
        <v>1000</v>
      </c>
      <c r="AG21" s="10">
        <v>-1.5</v>
      </c>
      <c r="AH21" s="10">
        <v>1.5</v>
      </c>
      <c r="AI21" s="44" t="s">
        <v>1320</v>
      </c>
      <c r="AJ21" s="44">
        <v>0</v>
      </c>
      <c r="AK21" s="44"/>
      <c r="AL21" s="23">
        <v>0</v>
      </c>
      <c r="AM21" s="23">
        <v>0</v>
      </c>
      <c r="AN21" s="23">
        <v>0</v>
      </c>
      <c r="AO21" s="23">
        <v>0</v>
      </c>
      <c r="AP21" s="23">
        <v>0</v>
      </c>
      <c r="AQ21" s="23">
        <v>0</v>
      </c>
      <c r="AR21" s="25">
        <v>0</v>
      </c>
      <c r="AS21" s="54">
        <v>0</v>
      </c>
      <c r="AT21" s="52">
        <v>0</v>
      </c>
      <c r="AU21" s="52">
        <v>0</v>
      </c>
      <c r="AV21" s="52">
        <v>0</v>
      </c>
      <c r="BG21" s="40">
        <v>3</v>
      </c>
      <c r="BH21" s="40" t="s">
        <v>1416</v>
      </c>
      <c r="BI21" s="40">
        <v>0</v>
      </c>
    </row>
    <row r="22" spans="1:61" x14ac:dyDescent="0.25">
      <c r="A22" s="7">
        <v>17</v>
      </c>
      <c r="B22" s="6" t="s">
        <v>118</v>
      </c>
      <c r="C22" s="6" t="s">
        <v>118</v>
      </c>
      <c r="D22" s="6" t="s">
        <v>119</v>
      </c>
      <c r="E22" s="6" t="s">
        <v>103</v>
      </c>
      <c r="F22" s="17">
        <v>43709.183217592596</v>
      </c>
      <c r="G22" s="21">
        <v>-6</v>
      </c>
      <c r="H22" s="4">
        <f t="shared" si="2"/>
        <v>43708.933217592596</v>
      </c>
      <c r="I22" s="3">
        <v>50</v>
      </c>
      <c r="J22" s="3">
        <v>7827</v>
      </c>
      <c r="K22" s="26">
        <f t="shared" si="1"/>
        <v>3.6604881094646271E-4</v>
      </c>
      <c r="L22" s="3">
        <v>203.7</v>
      </c>
      <c r="M22" s="3">
        <v>48.67</v>
      </c>
      <c r="N22" s="3" t="s">
        <v>1334</v>
      </c>
      <c r="O22" s="3">
        <v>53.283647999999999</v>
      </c>
      <c r="P22" s="3">
        <v>-113.083778</v>
      </c>
      <c r="Q22" s="3">
        <v>33500</v>
      </c>
      <c r="R22" s="3">
        <v>33500</v>
      </c>
      <c r="S22" s="3">
        <v>7827</v>
      </c>
      <c r="T22" s="3">
        <v>48.67</v>
      </c>
      <c r="U22" s="3">
        <v>29000</v>
      </c>
      <c r="V22" s="3" t="s">
        <v>81</v>
      </c>
      <c r="W22" s="9" t="s">
        <v>382</v>
      </c>
      <c r="X22" s="3">
        <v>0</v>
      </c>
      <c r="Y22" s="3">
        <v>85000</v>
      </c>
      <c r="Z22" s="3">
        <v>85000</v>
      </c>
      <c r="AA22" s="5">
        <v>400</v>
      </c>
      <c r="AB22" s="5">
        <v>0.4</v>
      </c>
      <c r="AC22" s="5">
        <v>0.5</v>
      </c>
      <c r="AD22" s="5">
        <v>0</v>
      </c>
      <c r="AE22" s="5">
        <v>0</v>
      </c>
      <c r="AF22" s="5">
        <v>1000</v>
      </c>
      <c r="AG22" s="10">
        <v>-1.5</v>
      </c>
      <c r="AH22" s="10">
        <v>1.5</v>
      </c>
      <c r="AI22" s="44" t="s">
        <v>1320</v>
      </c>
      <c r="AJ22" s="44">
        <v>0</v>
      </c>
      <c r="AK22" s="44"/>
      <c r="AL22" s="23">
        <v>0</v>
      </c>
      <c r="AM22" s="23">
        <v>0</v>
      </c>
      <c r="AN22" s="23">
        <v>0</v>
      </c>
      <c r="AO22" s="23">
        <v>0</v>
      </c>
      <c r="AP22" s="23">
        <v>0</v>
      </c>
      <c r="AQ22" s="23">
        <v>0</v>
      </c>
      <c r="AR22" s="25">
        <v>0</v>
      </c>
      <c r="AS22" s="54">
        <v>0</v>
      </c>
      <c r="AT22" s="52">
        <v>0</v>
      </c>
      <c r="AU22" s="52">
        <v>0</v>
      </c>
      <c r="AV22" s="52">
        <v>0</v>
      </c>
      <c r="BG22" s="40">
        <v>2</v>
      </c>
      <c r="BH22" s="40" t="s">
        <v>1416</v>
      </c>
      <c r="BI22" s="40">
        <v>0</v>
      </c>
    </row>
    <row r="23" spans="1:61" x14ac:dyDescent="0.25">
      <c r="A23" s="6">
        <v>19</v>
      </c>
      <c r="B23" s="6" t="s">
        <v>153</v>
      </c>
      <c r="C23" s="6" t="s">
        <v>153</v>
      </c>
      <c r="D23" s="6" t="s">
        <v>154</v>
      </c>
      <c r="E23" s="6" t="s">
        <v>4</v>
      </c>
      <c r="F23" s="17">
        <v>43743.966782407406</v>
      </c>
      <c r="G23" s="21">
        <v>-4</v>
      </c>
      <c r="H23" s="4">
        <f t="shared" si="2"/>
        <v>43743.800115740742</v>
      </c>
      <c r="I23" s="3">
        <v>100</v>
      </c>
      <c r="J23" s="3">
        <v>14000</v>
      </c>
      <c r="K23" s="9">
        <f t="shared" si="1"/>
        <v>2.3422562141491394E-3</v>
      </c>
      <c r="L23" s="3">
        <v>1.8779999999999999</v>
      </c>
      <c r="M23" s="3">
        <v>58.131999999999998</v>
      </c>
      <c r="N23" s="3" t="s">
        <v>155</v>
      </c>
      <c r="O23" s="3">
        <v>40.653500000000001</v>
      </c>
      <c r="P23" s="3">
        <v>-84.091899999999995</v>
      </c>
      <c r="Q23" s="3">
        <v>58165</v>
      </c>
      <c r="R23" s="3">
        <v>58168</v>
      </c>
      <c r="S23" s="3">
        <v>14000</v>
      </c>
      <c r="T23" s="3">
        <v>58.131999999999998</v>
      </c>
      <c r="U23" s="3">
        <v>20000</v>
      </c>
      <c r="V23" s="3" t="s">
        <v>81</v>
      </c>
      <c r="W23" s="3" t="s">
        <v>382</v>
      </c>
      <c r="X23" s="3">
        <v>0</v>
      </c>
      <c r="Y23" s="3">
        <v>85000</v>
      </c>
      <c r="Z23" s="3">
        <v>85000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10">
        <v>-1.5</v>
      </c>
      <c r="AH23" s="10">
        <v>1.5</v>
      </c>
      <c r="AI23" s="44" t="s">
        <v>1320</v>
      </c>
      <c r="AJ23" s="44">
        <v>0</v>
      </c>
      <c r="AK23" s="44"/>
      <c r="AL23" s="23">
        <v>0</v>
      </c>
      <c r="AM23" s="23">
        <v>0</v>
      </c>
      <c r="AN23" s="23">
        <v>0</v>
      </c>
      <c r="AO23" s="23">
        <v>0</v>
      </c>
      <c r="AP23" s="23">
        <v>0</v>
      </c>
      <c r="AQ23" s="23">
        <v>0</v>
      </c>
      <c r="AR23" s="25">
        <v>0</v>
      </c>
      <c r="AS23" s="54">
        <v>0</v>
      </c>
      <c r="AT23" s="52">
        <v>0</v>
      </c>
      <c r="AU23" s="52">
        <v>0</v>
      </c>
      <c r="AV23" s="52">
        <v>0</v>
      </c>
      <c r="BG23" s="40">
        <v>2</v>
      </c>
      <c r="BH23" s="40" t="s">
        <v>1416</v>
      </c>
      <c r="BI23" s="40">
        <v>0</v>
      </c>
    </row>
    <row r="24" spans="1:61" x14ac:dyDescent="0.25">
      <c r="A24" s="6">
        <v>20</v>
      </c>
      <c r="B24" s="6" t="s">
        <v>145</v>
      </c>
      <c r="C24" s="6" t="s">
        <v>142</v>
      </c>
      <c r="D24" s="6" t="s">
        <v>143</v>
      </c>
      <c r="E24" s="6" t="s">
        <v>142</v>
      </c>
      <c r="F24" s="17">
        <v>43720.534583333334</v>
      </c>
      <c r="G24" s="21">
        <v>2</v>
      </c>
      <c r="H24" s="4">
        <f t="shared" si="2"/>
        <v>43720.61791666667</v>
      </c>
      <c r="I24" s="3">
        <v>10043.608621288173</v>
      </c>
      <c r="J24" s="3">
        <v>19998</v>
      </c>
      <c r="K24" s="9">
        <f t="shared" si="1"/>
        <v>0.48000000000000004</v>
      </c>
      <c r="L24" s="3">
        <v>8.3000000000000007</v>
      </c>
      <c r="M24" s="3">
        <v>65.459000000000003</v>
      </c>
      <c r="N24" s="3" t="s">
        <v>1270</v>
      </c>
      <c r="O24" s="3">
        <v>54.510938000000003</v>
      </c>
      <c r="P24" s="3">
        <v>9.179646</v>
      </c>
      <c r="Q24" s="3">
        <v>42000</v>
      </c>
      <c r="R24" s="3">
        <v>42000</v>
      </c>
      <c r="S24" s="3">
        <v>19998</v>
      </c>
      <c r="T24" s="3">
        <v>65.459000000000003</v>
      </c>
      <c r="U24" s="3">
        <v>20000</v>
      </c>
      <c r="V24" s="3" t="s">
        <v>111</v>
      </c>
      <c r="W24" s="3" t="s">
        <v>382</v>
      </c>
      <c r="X24" s="3">
        <v>1984</v>
      </c>
      <c r="Y24" s="3">
        <v>85000</v>
      </c>
      <c r="Z24" s="3">
        <v>85000</v>
      </c>
      <c r="AA24" s="5">
        <v>1600</v>
      </c>
      <c r="AB24" s="5">
        <v>0.5</v>
      </c>
      <c r="AC24" s="5">
        <v>0.15</v>
      </c>
      <c r="AD24" s="5">
        <v>0</v>
      </c>
      <c r="AE24" s="5">
        <v>0</v>
      </c>
      <c r="AF24" s="5">
        <v>50</v>
      </c>
      <c r="AG24" s="5">
        <v>-1.5</v>
      </c>
      <c r="AH24" s="5">
        <v>1.5</v>
      </c>
      <c r="AI24" s="44" t="s">
        <v>1320</v>
      </c>
      <c r="AJ24" s="44">
        <v>0</v>
      </c>
      <c r="AL24" s="23">
        <v>0</v>
      </c>
      <c r="AM24" s="23">
        <v>0</v>
      </c>
      <c r="AN24" s="23">
        <v>0</v>
      </c>
      <c r="AO24" s="23">
        <v>0</v>
      </c>
      <c r="AP24" s="23">
        <v>0</v>
      </c>
      <c r="AQ24" s="23">
        <v>0</v>
      </c>
      <c r="AR24" s="25">
        <v>0</v>
      </c>
      <c r="AS24" s="54">
        <v>0</v>
      </c>
      <c r="AT24" s="52">
        <v>0</v>
      </c>
      <c r="AU24" s="52">
        <v>0</v>
      </c>
      <c r="AV24" s="52">
        <v>0</v>
      </c>
      <c r="BG24" s="40">
        <v>3</v>
      </c>
      <c r="BH24" s="40" t="s">
        <v>1416</v>
      </c>
      <c r="BI24" s="40">
        <v>0</v>
      </c>
    </row>
    <row r="25" spans="1:61" x14ac:dyDescent="0.25">
      <c r="A25" s="6">
        <v>22</v>
      </c>
      <c r="B25" s="6" t="s">
        <v>146</v>
      </c>
      <c r="C25" s="6" t="s">
        <v>149</v>
      </c>
      <c r="D25" s="6" t="s">
        <v>147</v>
      </c>
      <c r="E25" s="6" t="s">
        <v>142</v>
      </c>
      <c r="F25" s="17">
        <v>43735.729155092595</v>
      </c>
      <c r="G25" s="21">
        <v>2</v>
      </c>
      <c r="H25" s="4">
        <f t="shared" si="2"/>
        <v>43735.81248842593</v>
      </c>
      <c r="I25" s="3">
        <v>50</v>
      </c>
      <c r="J25" s="3">
        <v>17965</v>
      </c>
      <c r="K25" s="9">
        <f t="shared" si="1"/>
        <v>1.928425101577438E-3</v>
      </c>
      <c r="L25" s="3">
        <v>278.18</v>
      </c>
      <c r="M25" s="3">
        <v>80.569999999999993</v>
      </c>
      <c r="N25" s="3" t="s">
        <v>1334</v>
      </c>
      <c r="O25" s="3">
        <v>53.825000000000003</v>
      </c>
      <c r="P25" s="3">
        <v>13.124000000000001</v>
      </c>
      <c r="Q25" s="3">
        <v>25080</v>
      </c>
      <c r="R25" s="3">
        <v>25100</v>
      </c>
      <c r="S25" s="3">
        <v>17965</v>
      </c>
      <c r="T25" s="3">
        <v>80.569999999999993</v>
      </c>
      <c r="U25" s="3">
        <v>20000</v>
      </c>
      <c r="V25" s="3" t="s">
        <v>81</v>
      </c>
      <c r="W25" s="3" t="s">
        <v>382</v>
      </c>
      <c r="X25" s="3">
        <v>0</v>
      </c>
      <c r="Y25" s="3">
        <v>85000</v>
      </c>
      <c r="Z25" s="3">
        <v>85000</v>
      </c>
      <c r="AA25" s="5">
        <v>500</v>
      </c>
      <c r="AB25" s="5">
        <v>0.5</v>
      </c>
      <c r="AC25" s="5">
        <v>0.5</v>
      </c>
      <c r="AD25" s="5">
        <v>0</v>
      </c>
      <c r="AE25" s="5">
        <v>0</v>
      </c>
      <c r="AF25" s="5">
        <v>50</v>
      </c>
      <c r="AG25" s="5">
        <v>-1.5</v>
      </c>
      <c r="AH25" s="5">
        <v>1.5</v>
      </c>
      <c r="AI25" s="44" t="s">
        <v>1320</v>
      </c>
      <c r="AJ25" s="44">
        <v>0</v>
      </c>
      <c r="AL25" s="23">
        <v>0</v>
      </c>
      <c r="AM25" s="23">
        <v>0</v>
      </c>
      <c r="AN25" s="23">
        <v>0</v>
      </c>
      <c r="AO25" s="23">
        <v>0</v>
      </c>
      <c r="AP25" s="23">
        <v>0</v>
      </c>
      <c r="AQ25" s="23">
        <v>0</v>
      </c>
      <c r="AR25" s="25">
        <v>0</v>
      </c>
      <c r="AS25" s="54">
        <v>0</v>
      </c>
      <c r="AT25" s="52">
        <v>0</v>
      </c>
      <c r="AU25" s="52">
        <v>0</v>
      </c>
      <c r="AV25" s="52">
        <v>0</v>
      </c>
      <c r="BG25" s="40">
        <v>2</v>
      </c>
      <c r="BH25" s="40" t="s">
        <v>1416</v>
      </c>
      <c r="BI25" s="40">
        <v>0</v>
      </c>
    </row>
    <row r="26" spans="1:61" x14ac:dyDescent="0.25">
      <c r="A26" s="6">
        <v>23</v>
      </c>
      <c r="B26" s="6" t="s">
        <v>150</v>
      </c>
      <c r="C26" s="6" t="s">
        <v>151</v>
      </c>
      <c r="D26" s="6" t="s">
        <v>152</v>
      </c>
      <c r="E26" s="6" t="s">
        <v>4</v>
      </c>
      <c r="F26" s="17">
        <v>43739.208321759259</v>
      </c>
      <c r="G26" s="21">
        <v>-4</v>
      </c>
      <c r="H26" s="4">
        <f t="shared" si="2"/>
        <v>43739.041655092595</v>
      </c>
      <c r="I26" s="3">
        <v>100</v>
      </c>
      <c r="J26" s="3">
        <v>59700</v>
      </c>
      <c r="K26" s="9">
        <f t="shared" si="1"/>
        <v>4.2591897705544932E-2</v>
      </c>
      <c r="L26" s="3">
        <v>298.82</v>
      </c>
      <c r="M26" s="3">
        <f>DEGREES(ATAN(204/85))</f>
        <v>67.38013505195957</v>
      </c>
      <c r="N26" s="3" t="s">
        <v>104</v>
      </c>
      <c r="O26" s="3">
        <v>34.494300000000003</v>
      </c>
      <c r="P26" s="3">
        <v>-83.309599999999989</v>
      </c>
      <c r="Q26" s="3">
        <v>14600</v>
      </c>
      <c r="R26" s="3">
        <v>15000</v>
      </c>
      <c r="S26" s="3">
        <v>59700</v>
      </c>
      <c r="T26" s="3">
        <v>67.38013505195957</v>
      </c>
      <c r="U26" s="3">
        <v>14000</v>
      </c>
      <c r="V26" s="3" t="s">
        <v>81</v>
      </c>
      <c r="W26" s="3" t="s">
        <v>382</v>
      </c>
      <c r="X26" s="3">
        <v>0</v>
      </c>
      <c r="Y26" s="3">
        <v>100000</v>
      </c>
      <c r="Z26" s="3">
        <v>100000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-1.5</v>
      </c>
      <c r="AH26" s="5">
        <v>1.5</v>
      </c>
      <c r="AI26" s="44" t="s">
        <v>1320</v>
      </c>
      <c r="AJ26" s="44">
        <v>0</v>
      </c>
      <c r="AL26" s="23">
        <v>0</v>
      </c>
      <c r="AM26" s="23">
        <v>0</v>
      </c>
      <c r="AN26" s="23">
        <v>0</v>
      </c>
      <c r="AO26" s="23">
        <v>0</v>
      </c>
      <c r="AP26" s="23">
        <v>0</v>
      </c>
      <c r="AQ26" s="23">
        <v>0</v>
      </c>
      <c r="AR26" s="25">
        <v>0</v>
      </c>
      <c r="AS26" s="54">
        <v>0</v>
      </c>
      <c r="AT26" s="52">
        <v>0</v>
      </c>
      <c r="AU26" s="52">
        <v>0</v>
      </c>
      <c r="AV26" s="52">
        <v>0</v>
      </c>
      <c r="BG26" s="40">
        <v>2</v>
      </c>
      <c r="BH26" s="40" t="s">
        <v>1416</v>
      </c>
      <c r="BI26" s="40">
        <v>0</v>
      </c>
    </row>
    <row r="27" spans="1:61" x14ac:dyDescent="0.25">
      <c r="A27" s="6">
        <v>24</v>
      </c>
      <c r="B27" s="6" t="s">
        <v>157</v>
      </c>
      <c r="C27" s="6" t="s">
        <v>156</v>
      </c>
      <c r="D27" s="6" t="s">
        <v>157</v>
      </c>
      <c r="E27" s="6" t="s">
        <v>63</v>
      </c>
      <c r="F27" s="17">
        <v>43748.678194444445</v>
      </c>
      <c r="G27" s="21">
        <v>8</v>
      </c>
      <c r="H27" s="4">
        <f t="shared" si="2"/>
        <v>43749.01152777778</v>
      </c>
      <c r="I27" s="3">
        <v>24111</v>
      </c>
      <c r="J27" s="3">
        <v>14065</v>
      </c>
      <c r="K27" s="9">
        <f t="shared" si="1"/>
        <v>0.56999759667483263</v>
      </c>
      <c r="L27" s="3">
        <v>72.319999999999993</v>
      </c>
      <c r="M27" s="3">
        <v>40</v>
      </c>
      <c r="N27" s="3" t="s">
        <v>1270</v>
      </c>
      <c r="O27" s="3">
        <v>45.071176999999999</v>
      </c>
      <c r="P27" s="3">
        <v>124.47472</v>
      </c>
      <c r="Q27" s="3">
        <v>14716</v>
      </c>
      <c r="R27" s="3">
        <v>15000</v>
      </c>
      <c r="S27" s="3">
        <v>14065</v>
      </c>
      <c r="T27" s="3">
        <v>40</v>
      </c>
      <c r="U27" s="3">
        <v>12000</v>
      </c>
      <c r="V27" s="3" t="s">
        <v>144</v>
      </c>
      <c r="W27" s="3" t="s">
        <v>382</v>
      </c>
      <c r="X27" s="3">
        <v>0</v>
      </c>
      <c r="Y27" s="3">
        <v>100000</v>
      </c>
      <c r="Z27" s="3">
        <v>100000</v>
      </c>
      <c r="AA27" s="5">
        <v>500</v>
      </c>
      <c r="AB27" s="5">
        <v>2</v>
      </c>
      <c r="AC27" s="5">
        <v>10</v>
      </c>
      <c r="AD27" s="5">
        <v>4.0000000000000001E-3</v>
      </c>
      <c r="AE27" s="5">
        <v>1.4999999999999999E-2</v>
      </c>
      <c r="AF27" s="5">
        <v>500</v>
      </c>
      <c r="AG27" s="10">
        <v>-1.5</v>
      </c>
      <c r="AH27" s="10">
        <v>1.5</v>
      </c>
      <c r="AI27" s="44" t="s">
        <v>1320</v>
      </c>
      <c r="AJ27" s="44">
        <v>0</v>
      </c>
      <c r="AK27" s="44"/>
      <c r="AL27" s="23">
        <v>0</v>
      </c>
      <c r="AM27" s="23">
        <v>0</v>
      </c>
      <c r="AN27" s="23">
        <v>0</v>
      </c>
      <c r="AO27" s="23">
        <v>0</v>
      </c>
      <c r="AP27" s="23">
        <v>0</v>
      </c>
      <c r="AQ27" s="23">
        <v>0</v>
      </c>
      <c r="AR27" s="25">
        <v>0</v>
      </c>
      <c r="AS27" s="54">
        <v>0</v>
      </c>
      <c r="AT27" s="52">
        <v>0</v>
      </c>
      <c r="AU27" s="52">
        <v>0</v>
      </c>
      <c r="AV27" s="52">
        <v>0</v>
      </c>
      <c r="BG27" s="40">
        <v>3</v>
      </c>
      <c r="BH27" s="40" t="s">
        <v>1416</v>
      </c>
      <c r="BI27" s="40">
        <v>0</v>
      </c>
    </row>
    <row r="28" spans="1:61" x14ac:dyDescent="0.25">
      <c r="A28" s="6">
        <v>26</v>
      </c>
      <c r="B28" s="6" t="s">
        <v>163</v>
      </c>
      <c r="C28" s="6" t="s">
        <v>163</v>
      </c>
      <c r="D28" s="6" t="s">
        <v>164</v>
      </c>
      <c r="E28" s="6" t="s">
        <v>4</v>
      </c>
      <c r="F28" s="17">
        <v>43781.119270833333</v>
      </c>
      <c r="G28" s="21">
        <v>-6</v>
      </c>
      <c r="H28" s="4">
        <f t="shared" si="2"/>
        <v>43780.869270833333</v>
      </c>
      <c r="I28" s="3">
        <v>86</v>
      </c>
      <c r="J28" s="3">
        <v>15300</v>
      </c>
      <c r="K28" s="3">
        <f t="shared" si="1"/>
        <v>2.4058006692160611E-3</v>
      </c>
      <c r="L28" s="3">
        <v>303.66000000000003</v>
      </c>
      <c r="M28" s="3">
        <v>38</v>
      </c>
      <c r="N28" s="3" t="s">
        <v>1334</v>
      </c>
      <c r="O28" s="3">
        <v>38.763585999999997</v>
      </c>
      <c r="P28" s="3">
        <v>-91.385735999999994</v>
      </c>
      <c r="Q28" s="3">
        <v>16400</v>
      </c>
      <c r="R28" s="3">
        <v>17500</v>
      </c>
      <c r="S28" s="3">
        <v>15300</v>
      </c>
      <c r="T28" s="3">
        <v>38</v>
      </c>
      <c r="U28" s="3">
        <v>16400</v>
      </c>
      <c r="V28" s="3" t="s">
        <v>144</v>
      </c>
      <c r="W28" s="3" t="s">
        <v>382</v>
      </c>
      <c r="X28" s="3">
        <v>0</v>
      </c>
      <c r="Y28" s="3">
        <v>60000</v>
      </c>
      <c r="Z28" s="3">
        <v>60000</v>
      </c>
      <c r="AA28" s="5">
        <v>500</v>
      </c>
      <c r="AB28" s="5">
        <v>0.5</v>
      </c>
      <c r="AC28" s="5">
        <v>2</v>
      </c>
      <c r="AD28" s="5">
        <v>0</v>
      </c>
      <c r="AE28" s="5">
        <v>0</v>
      </c>
      <c r="AF28" s="5">
        <v>0</v>
      </c>
      <c r="AG28" s="10">
        <v>-1.5</v>
      </c>
      <c r="AH28" s="10">
        <v>1.5</v>
      </c>
      <c r="AI28" s="44" t="s">
        <v>1320</v>
      </c>
      <c r="AJ28" s="44">
        <v>0</v>
      </c>
      <c r="AK28" s="44"/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5">
        <v>0</v>
      </c>
      <c r="AS28" s="54">
        <v>0</v>
      </c>
      <c r="AT28" s="52">
        <v>0</v>
      </c>
      <c r="AU28" s="52">
        <v>0</v>
      </c>
      <c r="AV28" s="52">
        <v>0</v>
      </c>
      <c r="AW28" s="38">
        <v>0</v>
      </c>
      <c r="AX28" s="38">
        <v>0</v>
      </c>
      <c r="AY28" s="38">
        <v>0</v>
      </c>
      <c r="AZ28" s="38">
        <v>0</v>
      </c>
      <c r="BA28" s="38">
        <v>0</v>
      </c>
      <c r="BB28" s="38">
        <v>0</v>
      </c>
      <c r="BC28" s="38">
        <v>0</v>
      </c>
      <c r="BD28" s="38">
        <v>0</v>
      </c>
      <c r="BE28" s="38">
        <v>0</v>
      </c>
      <c r="BF28" s="38">
        <v>0</v>
      </c>
      <c r="BG28" s="40">
        <v>3</v>
      </c>
      <c r="BH28" s="40" t="s">
        <v>1416</v>
      </c>
      <c r="BI28" s="40">
        <v>0</v>
      </c>
    </row>
    <row r="29" spans="1:61" x14ac:dyDescent="0.25">
      <c r="A29" s="6">
        <v>26</v>
      </c>
      <c r="B29" s="6" t="s">
        <v>1335</v>
      </c>
      <c r="C29" s="6" t="s">
        <v>1336</v>
      </c>
      <c r="D29" s="6" t="s">
        <v>164</v>
      </c>
      <c r="E29" s="6" t="s">
        <v>4</v>
      </c>
      <c r="F29" s="17">
        <v>43781.119270833333</v>
      </c>
      <c r="G29" s="21">
        <v>-6</v>
      </c>
      <c r="H29" s="4">
        <f t="shared" si="2"/>
        <v>43780.869270833333</v>
      </c>
      <c r="I29" s="3">
        <v>86</v>
      </c>
      <c r="J29" s="3">
        <v>15300</v>
      </c>
      <c r="K29" s="3">
        <f t="shared" si="1"/>
        <v>2.4058006692160611E-3</v>
      </c>
      <c r="L29" s="3">
        <v>303.66000000000003</v>
      </c>
      <c r="M29" s="3">
        <v>38</v>
      </c>
      <c r="N29" s="3" t="s">
        <v>1334</v>
      </c>
      <c r="O29" s="3">
        <v>38.769644999999997</v>
      </c>
      <c r="P29" s="3">
        <v>-91.324388999999996</v>
      </c>
      <c r="Q29" s="3">
        <v>17695</v>
      </c>
      <c r="R29" s="3">
        <v>17695</v>
      </c>
      <c r="S29" s="3">
        <v>15300</v>
      </c>
      <c r="T29" s="3">
        <v>38</v>
      </c>
      <c r="U29" s="3">
        <v>16400</v>
      </c>
      <c r="V29" s="3" t="s">
        <v>144</v>
      </c>
      <c r="W29" s="3" t="s">
        <v>382</v>
      </c>
      <c r="X29" s="3">
        <v>0</v>
      </c>
      <c r="Y29" s="3">
        <v>60000</v>
      </c>
      <c r="Z29" s="3">
        <v>30000</v>
      </c>
      <c r="AA29" s="5">
        <v>500</v>
      </c>
      <c r="AB29" s="5">
        <v>0.5</v>
      </c>
      <c r="AC29" s="5">
        <v>2</v>
      </c>
      <c r="AD29" s="5">
        <v>0.01</v>
      </c>
      <c r="AE29" s="5">
        <v>0.01</v>
      </c>
      <c r="AF29" s="5">
        <v>4936</v>
      </c>
      <c r="AG29" s="10">
        <v>-1.5</v>
      </c>
      <c r="AH29" s="10">
        <v>1.5</v>
      </c>
      <c r="AI29" s="44" t="s">
        <v>1320</v>
      </c>
      <c r="AJ29" s="44">
        <v>0</v>
      </c>
      <c r="AK29" s="44"/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5">
        <v>0</v>
      </c>
      <c r="AS29" s="54">
        <v>0</v>
      </c>
      <c r="AT29" s="52">
        <v>0</v>
      </c>
      <c r="AU29" s="52">
        <v>0</v>
      </c>
      <c r="AV29" s="52">
        <v>0</v>
      </c>
      <c r="BG29" s="40">
        <v>3</v>
      </c>
      <c r="BH29" s="40" t="s">
        <v>1416</v>
      </c>
      <c r="BI29" s="40">
        <v>0</v>
      </c>
    </row>
    <row r="30" spans="1:61" x14ac:dyDescent="0.25">
      <c r="A30" s="6">
        <v>27</v>
      </c>
      <c r="B30" s="6" t="s">
        <v>175</v>
      </c>
      <c r="C30" s="6" t="s">
        <v>175</v>
      </c>
      <c r="D30" s="6" t="s">
        <v>56</v>
      </c>
      <c r="E30" s="6" t="s">
        <v>154</v>
      </c>
      <c r="F30" s="17">
        <v>43803.011435185188</v>
      </c>
      <c r="G30" s="21">
        <v>-5</v>
      </c>
      <c r="H30" s="4">
        <f t="shared" si="2"/>
        <v>43802.803101851852</v>
      </c>
      <c r="I30" s="3">
        <v>50</v>
      </c>
      <c r="J30" s="3">
        <v>20000</v>
      </c>
      <c r="K30" s="3">
        <f t="shared" si="1"/>
        <v>2.3900573613766726E-3</v>
      </c>
      <c r="L30" s="3">
        <v>31.736000000000001</v>
      </c>
      <c r="M30" s="3">
        <v>55</v>
      </c>
      <c r="N30" s="3" t="s">
        <v>1334</v>
      </c>
      <c r="O30" s="3">
        <v>40.910291000000001</v>
      </c>
      <c r="P30" s="3">
        <v>-86.613352000000006</v>
      </c>
      <c r="Q30" s="3">
        <v>18000</v>
      </c>
      <c r="R30" s="3">
        <v>18000</v>
      </c>
      <c r="S30" s="3">
        <v>20000</v>
      </c>
      <c r="T30" s="3">
        <v>55</v>
      </c>
      <c r="U30" s="3">
        <v>18000</v>
      </c>
      <c r="V30" s="3" t="s">
        <v>144</v>
      </c>
      <c r="W30" s="9" t="s">
        <v>382</v>
      </c>
      <c r="X30" s="3">
        <v>0</v>
      </c>
      <c r="Y30" s="3">
        <v>85000</v>
      </c>
      <c r="Z30" s="3">
        <v>85000</v>
      </c>
      <c r="AA30" s="5">
        <v>3000</v>
      </c>
      <c r="AB30" s="5">
        <v>10</v>
      </c>
      <c r="AC30" s="5">
        <v>10</v>
      </c>
      <c r="AD30" s="5">
        <v>0.01</v>
      </c>
      <c r="AE30" s="5">
        <v>0.05</v>
      </c>
      <c r="AF30" s="5">
        <v>2000</v>
      </c>
      <c r="AG30" s="10">
        <v>-1.5</v>
      </c>
      <c r="AH30" s="10">
        <v>1.5</v>
      </c>
      <c r="AI30" s="44" t="s">
        <v>1320</v>
      </c>
      <c r="AJ30" s="44">
        <v>0</v>
      </c>
      <c r="AK30" s="44"/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5">
        <v>0</v>
      </c>
      <c r="AS30" s="54">
        <v>0</v>
      </c>
      <c r="AT30" s="52">
        <v>0</v>
      </c>
      <c r="AU30" s="52">
        <v>0</v>
      </c>
      <c r="AV30" s="52">
        <v>0</v>
      </c>
      <c r="BG30" s="40">
        <v>2</v>
      </c>
      <c r="BH30" s="40" t="s">
        <v>1416</v>
      </c>
      <c r="BI30" s="40">
        <v>0</v>
      </c>
    </row>
    <row r="31" spans="1:61" x14ac:dyDescent="0.25">
      <c r="A31" s="6">
        <v>28</v>
      </c>
      <c r="B31" s="6" t="s">
        <v>177</v>
      </c>
      <c r="C31" s="6" t="s">
        <v>185</v>
      </c>
      <c r="D31" s="6" t="s">
        <v>183</v>
      </c>
      <c r="E31" s="6" t="s">
        <v>103</v>
      </c>
      <c r="F31" s="17">
        <v>36543.697025462963</v>
      </c>
      <c r="G31" s="21">
        <v>-8</v>
      </c>
      <c r="H31" s="4">
        <f t="shared" si="2"/>
        <v>36543.363692129627</v>
      </c>
      <c r="I31" s="3">
        <v>58500</v>
      </c>
      <c r="J31" s="3">
        <v>15800</v>
      </c>
      <c r="K31" s="3">
        <f t="shared" si="1"/>
        <v>1.7452127151051624</v>
      </c>
      <c r="L31" s="3">
        <v>150.69999999999999</v>
      </c>
      <c r="M31" s="3">
        <v>72.2</v>
      </c>
      <c r="N31" s="3" t="s">
        <v>184</v>
      </c>
      <c r="O31" s="3">
        <v>60.04</v>
      </c>
      <c r="P31" s="3">
        <v>-134.64500000000001</v>
      </c>
      <c r="Q31" s="3">
        <v>37600</v>
      </c>
      <c r="R31" s="3">
        <v>37600</v>
      </c>
      <c r="S31" s="3">
        <v>15800</v>
      </c>
      <c r="T31" s="3">
        <v>72.2</v>
      </c>
      <c r="U31" s="3">
        <v>29000</v>
      </c>
      <c r="V31" s="3" t="s">
        <v>111</v>
      </c>
      <c r="W31" s="9" t="s">
        <v>217</v>
      </c>
      <c r="X31" s="3">
        <v>1640</v>
      </c>
      <c r="Y31" s="3">
        <v>85000</v>
      </c>
      <c r="Z31" s="3">
        <v>85000</v>
      </c>
      <c r="AA31" s="5">
        <v>600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-1.5</v>
      </c>
      <c r="AH31" s="5">
        <v>1.5</v>
      </c>
      <c r="AI31" s="44" t="s">
        <v>1320</v>
      </c>
      <c r="AJ31" s="44">
        <v>0</v>
      </c>
      <c r="AL31" s="23">
        <v>23.65</v>
      </c>
      <c r="AM31" s="23">
        <v>424</v>
      </c>
      <c r="AN31" s="23">
        <v>16.3</v>
      </c>
      <c r="AO31" s="23">
        <v>2</v>
      </c>
      <c r="AP31" s="23">
        <v>0</v>
      </c>
      <c r="AQ31" s="23">
        <v>0</v>
      </c>
      <c r="AR31" s="25">
        <f>AM31/AL31</f>
        <v>17.928118393234673</v>
      </c>
      <c r="AS31" s="54">
        <f>AN31/AL31*1000</f>
        <v>689.21775898520093</v>
      </c>
      <c r="AT31" s="52">
        <v>0</v>
      </c>
      <c r="AU31" s="52">
        <v>0</v>
      </c>
      <c r="AV31" s="52">
        <v>0</v>
      </c>
      <c r="AW31" s="38">
        <v>3</v>
      </c>
      <c r="AX31" s="38">
        <v>5</v>
      </c>
      <c r="AY31" s="38">
        <v>45</v>
      </c>
      <c r="AZ31" s="38">
        <v>44</v>
      </c>
      <c r="BA31" s="38">
        <v>56</v>
      </c>
      <c r="BB31" s="38" t="s">
        <v>259</v>
      </c>
      <c r="BC31" s="38">
        <v>43</v>
      </c>
      <c r="BD31" s="38">
        <v>44</v>
      </c>
      <c r="BE31" s="38">
        <v>45</v>
      </c>
      <c r="BF31" s="38" t="s">
        <v>259</v>
      </c>
      <c r="BG31" s="40">
        <v>3</v>
      </c>
      <c r="BH31" s="40" t="s">
        <v>1416</v>
      </c>
      <c r="BI31" s="40">
        <v>0</v>
      </c>
    </row>
    <row r="32" spans="1:61" x14ac:dyDescent="0.25">
      <c r="A32" s="6">
        <v>29</v>
      </c>
      <c r="B32" s="6" t="s">
        <v>187</v>
      </c>
      <c r="F32" s="17">
        <v>39283.80128472222</v>
      </c>
      <c r="J32" s="3">
        <v>13395</v>
      </c>
      <c r="O32" s="3">
        <v>-31.45</v>
      </c>
      <c r="P32" s="3">
        <v>129.827</v>
      </c>
      <c r="S32" s="3">
        <v>13395</v>
      </c>
      <c r="W32" s="3" t="s">
        <v>246</v>
      </c>
      <c r="X32" s="3">
        <v>0</v>
      </c>
      <c r="AA32" s="5">
        <v>7</v>
      </c>
      <c r="AI32" s="44" t="s">
        <v>1320</v>
      </c>
      <c r="AJ32" s="44">
        <v>0</v>
      </c>
      <c r="AR32" s="25">
        <v>0</v>
      </c>
      <c r="AS32" s="54">
        <v>0</v>
      </c>
      <c r="AT32" s="52">
        <v>0</v>
      </c>
      <c r="AU32" s="52">
        <v>0</v>
      </c>
      <c r="AV32" s="52">
        <v>0</v>
      </c>
      <c r="AW32" s="38">
        <v>22</v>
      </c>
      <c r="AX32" s="38">
        <v>5</v>
      </c>
      <c r="AY32" s="38">
        <v>61</v>
      </c>
      <c r="AZ32" s="38" t="s">
        <v>259</v>
      </c>
      <c r="BA32" s="38">
        <v>62</v>
      </c>
      <c r="BB32" s="38" t="s">
        <v>259</v>
      </c>
      <c r="BC32" s="38">
        <v>11</v>
      </c>
      <c r="BD32" s="38" t="s">
        <v>259</v>
      </c>
      <c r="BE32" s="38" t="s">
        <v>259</v>
      </c>
      <c r="BF32" s="38" t="s">
        <v>259</v>
      </c>
      <c r="BG32" s="40">
        <v>0</v>
      </c>
      <c r="BH32" s="40" t="s">
        <v>1416</v>
      </c>
      <c r="BI32" s="40">
        <v>0</v>
      </c>
    </row>
    <row r="33" spans="1:61" x14ac:dyDescent="0.25">
      <c r="A33" s="6">
        <v>31</v>
      </c>
      <c r="B33" s="6" t="s">
        <v>188</v>
      </c>
      <c r="C33" s="6" t="s">
        <v>188</v>
      </c>
      <c r="D33" s="6" t="s">
        <v>1465</v>
      </c>
      <c r="E33" s="6" t="s">
        <v>918</v>
      </c>
      <c r="F33" s="17">
        <v>39340.697916666664</v>
      </c>
      <c r="G33" s="21">
        <v>-5</v>
      </c>
      <c r="H33" s="4">
        <f>F33+G33/24</f>
        <v>39340.489583333328</v>
      </c>
      <c r="I33" s="3">
        <v>1100</v>
      </c>
      <c r="J33" s="3">
        <v>15000</v>
      </c>
      <c r="K33" s="36">
        <f>I33*J33^2/2/4.184/10^12</f>
        <v>2.9576959847036326E-2</v>
      </c>
      <c r="O33" s="3">
        <v>-16.664444</v>
      </c>
      <c r="P33" s="3">
        <v>-69.043888999999993</v>
      </c>
      <c r="W33" s="9" t="s">
        <v>382</v>
      </c>
      <c r="X33" s="3">
        <v>0</v>
      </c>
      <c r="AI33" s="44" t="s">
        <v>1320</v>
      </c>
      <c r="AJ33" s="44">
        <v>0</v>
      </c>
      <c r="AR33" s="25">
        <v>0</v>
      </c>
      <c r="AS33" s="54">
        <v>0</v>
      </c>
      <c r="AT33" s="52">
        <v>0</v>
      </c>
      <c r="AU33" s="52">
        <v>0</v>
      </c>
      <c r="AV33" s="52">
        <v>0</v>
      </c>
      <c r="BG33" s="40">
        <v>0</v>
      </c>
      <c r="BH33" s="40" t="s">
        <v>1416</v>
      </c>
      <c r="BI33" s="40">
        <v>0</v>
      </c>
    </row>
    <row r="34" spans="1:61" x14ac:dyDescent="0.25">
      <c r="A34" s="6">
        <v>32</v>
      </c>
      <c r="B34" s="6" t="s">
        <v>189</v>
      </c>
      <c r="E34" s="6" t="s">
        <v>524</v>
      </c>
      <c r="F34" s="17">
        <v>19311</v>
      </c>
      <c r="O34" s="3">
        <v>7.05</v>
      </c>
      <c r="P34" s="3">
        <v>12.433299999999999</v>
      </c>
      <c r="W34" s="9" t="s">
        <v>382</v>
      </c>
      <c r="X34" s="3">
        <v>0</v>
      </c>
      <c r="AI34" s="44" t="s">
        <v>1320</v>
      </c>
      <c r="AJ34" s="44">
        <v>0</v>
      </c>
      <c r="AR34" s="25">
        <v>0</v>
      </c>
      <c r="AS34" s="54">
        <v>0</v>
      </c>
      <c r="AT34" s="52">
        <v>0</v>
      </c>
      <c r="AU34" s="52">
        <v>0</v>
      </c>
      <c r="AV34" s="52">
        <v>0</v>
      </c>
      <c r="BG34" s="40">
        <v>0</v>
      </c>
      <c r="BH34" s="40" t="s">
        <v>1416</v>
      </c>
      <c r="BI34" s="40">
        <v>0</v>
      </c>
    </row>
    <row r="35" spans="1:61" x14ac:dyDescent="0.25">
      <c r="A35" s="6">
        <v>33</v>
      </c>
      <c r="B35" s="6" t="s">
        <v>190</v>
      </c>
      <c r="F35" s="17">
        <v>40082.043726851851</v>
      </c>
      <c r="G35" s="21">
        <v>-4</v>
      </c>
      <c r="H35" s="4">
        <f>F35+G35/24</f>
        <v>40081.877060185187</v>
      </c>
      <c r="J35" s="3">
        <v>20950</v>
      </c>
      <c r="O35" s="3">
        <v>43.533999999999999</v>
      </c>
      <c r="P35" s="3">
        <v>-80.194000000000003</v>
      </c>
      <c r="S35" s="3">
        <v>20950</v>
      </c>
      <c r="W35" s="3" t="s">
        <v>239</v>
      </c>
      <c r="X35" s="3">
        <v>3355</v>
      </c>
      <c r="AA35" s="5">
        <v>190</v>
      </c>
      <c r="AI35" s="44" t="s">
        <v>1320</v>
      </c>
      <c r="AJ35" s="44">
        <v>0</v>
      </c>
      <c r="AR35" s="25">
        <v>0</v>
      </c>
      <c r="AS35" s="54">
        <v>0</v>
      </c>
      <c r="AT35" s="52">
        <v>0</v>
      </c>
      <c r="AU35" s="52">
        <v>0</v>
      </c>
      <c r="AV35" s="52">
        <v>0</v>
      </c>
      <c r="AW35" s="38">
        <v>23.5</v>
      </c>
      <c r="AX35" s="38">
        <v>5</v>
      </c>
      <c r="AY35" s="38">
        <v>69</v>
      </c>
      <c r="AZ35" s="38">
        <v>69</v>
      </c>
      <c r="BA35" s="38">
        <v>18</v>
      </c>
      <c r="BB35" s="38" t="s">
        <v>259</v>
      </c>
      <c r="BC35" s="38">
        <v>17</v>
      </c>
      <c r="BD35" s="38" t="s">
        <v>259</v>
      </c>
      <c r="BE35" s="38" t="s">
        <v>259</v>
      </c>
      <c r="BF35" s="38" t="s">
        <v>259</v>
      </c>
      <c r="BG35" s="40">
        <v>0</v>
      </c>
      <c r="BH35" s="40" t="s">
        <v>1416</v>
      </c>
      <c r="BI35" s="40">
        <v>0</v>
      </c>
    </row>
    <row r="36" spans="1:61" x14ac:dyDescent="0.25">
      <c r="A36" s="6">
        <v>35</v>
      </c>
      <c r="B36" s="6" t="s">
        <v>191</v>
      </c>
      <c r="F36" s="17">
        <v>4585.125</v>
      </c>
      <c r="G36" s="21">
        <v>-8</v>
      </c>
      <c r="H36" s="4">
        <f>F36+G36/24</f>
        <v>4584.791666666667</v>
      </c>
      <c r="O36" s="3">
        <v>34.9</v>
      </c>
      <c r="P36" s="3">
        <v>-110.1833</v>
      </c>
      <c r="W36" s="9" t="s">
        <v>382</v>
      </c>
      <c r="X36" s="3">
        <v>0</v>
      </c>
      <c r="AI36" s="44" t="s">
        <v>1320</v>
      </c>
      <c r="AJ36" s="44">
        <v>0</v>
      </c>
      <c r="AR36" s="25">
        <v>0</v>
      </c>
      <c r="AS36" s="54">
        <v>0</v>
      </c>
      <c r="AT36" s="52">
        <v>0</v>
      </c>
      <c r="AU36" s="52">
        <v>0</v>
      </c>
      <c r="AV36" s="52">
        <v>0</v>
      </c>
      <c r="BG36" s="40">
        <v>0</v>
      </c>
      <c r="BH36" s="40" t="s">
        <v>1416</v>
      </c>
      <c r="BI36" s="40">
        <v>0</v>
      </c>
    </row>
    <row r="37" spans="1:61" x14ac:dyDescent="0.25">
      <c r="A37" s="6">
        <v>36</v>
      </c>
      <c r="B37" s="6" t="s">
        <v>192</v>
      </c>
      <c r="C37" s="6" t="s">
        <v>192</v>
      </c>
      <c r="D37" s="6" t="s">
        <v>1466</v>
      </c>
      <c r="E37" s="6" t="s">
        <v>1134</v>
      </c>
      <c r="F37" s="17">
        <v>29558.197916666668</v>
      </c>
      <c r="G37" s="21">
        <v>3</v>
      </c>
      <c r="H37" s="4">
        <f>F37+G37/24</f>
        <v>29558.322916666668</v>
      </c>
      <c r="O37" s="3">
        <v>15</v>
      </c>
      <c r="P37" s="3">
        <v>48.3</v>
      </c>
      <c r="W37" s="9" t="s">
        <v>382</v>
      </c>
      <c r="X37" s="3">
        <v>0</v>
      </c>
      <c r="AI37" s="44" t="s">
        <v>1320</v>
      </c>
      <c r="AJ37" s="44">
        <v>0</v>
      </c>
      <c r="AM37" s="23">
        <v>1</v>
      </c>
      <c r="AN37" s="23">
        <v>0.84164000000000005</v>
      </c>
      <c r="AO37" s="23">
        <v>0.84164000000000005</v>
      </c>
      <c r="AR37" s="25">
        <v>0</v>
      </c>
      <c r="AS37" s="54">
        <v>0</v>
      </c>
      <c r="AT37" s="52">
        <v>0</v>
      </c>
      <c r="AU37" s="52">
        <v>0</v>
      </c>
      <c r="AV37" s="52">
        <v>0</v>
      </c>
      <c r="BG37" s="40">
        <v>0</v>
      </c>
      <c r="BH37" s="40" t="s">
        <v>1416</v>
      </c>
      <c r="BI37" s="40">
        <v>0</v>
      </c>
    </row>
    <row r="38" spans="1:61" x14ac:dyDescent="0.25">
      <c r="A38" s="6">
        <v>37</v>
      </c>
      <c r="B38" s="6" t="s">
        <v>193</v>
      </c>
      <c r="D38" s="6" t="s">
        <v>1022</v>
      </c>
      <c r="E38" s="6" t="s">
        <v>1467</v>
      </c>
      <c r="F38" s="17">
        <v>15453.708333333334</v>
      </c>
      <c r="G38" s="21">
        <v>2</v>
      </c>
      <c r="H38" s="4">
        <f>F38+G38/24</f>
        <v>15453.791666666668</v>
      </c>
      <c r="O38" s="3">
        <v>4.7</v>
      </c>
      <c r="P38" s="3">
        <v>33.633299999999998</v>
      </c>
      <c r="W38" s="9" t="s">
        <v>382</v>
      </c>
      <c r="X38" s="3">
        <v>0</v>
      </c>
      <c r="AI38" s="44" t="s">
        <v>1320</v>
      </c>
      <c r="AJ38" s="44">
        <v>0</v>
      </c>
      <c r="AM38" s="23">
        <v>1</v>
      </c>
      <c r="AN38" s="23">
        <v>11</v>
      </c>
      <c r="AO38" s="23">
        <v>11</v>
      </c>
      <c r="AR38" s="25">
        <v>0</v>
      </c>
      <c r="AS38" s="54">
        <v>0</v>
      </c>
      <c r="AT38" s="52">
        <v>0</v>
      </c>
      <c r="AU38" s="52">
        <v>0</v>
      </c>
      <c r="AV38" s="52">
        <v>0</v>
      </c>
      <c r="BG38" s="40">
        <v>0</v>
      </c>
      <c r="BH38" s="40" t="s">
        <v>1416</v>
      </c>
      <c r="BI38" s="40">
        <v>0</v>
      </c>
    </row>
    <row r="39" spans="1:61" x14ac:dyDescent="0.25">
      <c r="A39" s="6">
        <v>38</v>
      </c>
      <c r="B39" s="6" t="s">
        <v>193</v>
      </c>
      <c r="F39" s="17">
        <v>39830.797534722224</v>
      </c>
      <c r="J39" s="3">
        <v>28300</v>
      </c>
      <c r="O39" s="3">
        <v>54.585000000000001</v>
      </c>
      <c r="P39" s="3">
        <v>13.657</v>
      </c>
      <c r="S39" s="3">
        <v>28300</v>
      </c>
      <c r="W39" s="3" t="s">
        <v>216</v>
      </c>
      <c r="X39" s="3">
        <v>0</v>
      </c>
      <c r="AA39" s="5">
        <v>200</v>
      </c>
      <c r="AI39" s="44" t="s">
        <v>1320</v>
      </c>
      <c r="AJ39" s="44">
        <v>0</v>
      </c>
      <c r="AR39" s="25">
        <v>0</v>
      </c>
      <c r="AS39" s="54">
        <v>0</v>
      </c>
      <c r="AT39" s="52">
        <v>0</v>
      </c>
      <c r="AU39" s="52">
        <v>0</v>
      </c>
      <c r="AV39" s="52">
        <v>0</v>
      </c>
      <c r="AW39" s="38">
        <v>1.1000000000000001</v>
      </c>
      <c r="AX39" s="38">
        <v>5</v>
      </c>
      <c r="AY39" s="38">
        <v>67</v>
      </c>
      <c r="AZ39" s="38" t="s">
        <v>259</v>
      </c>
      <c r="BA39" s="38">
        <v>67</v>
      </c>
      <c r="BB39" s="38" t="s">
        <v>259</v>
      </c>
      <c r="BC39" s="38">
        <v>26</v>
      </c>
      <c r="BD39" s="38">
        <v>27</v>
      </c>
      <c r="BE39" s="38">
        <v>28</v>
      </c>
      <c r="BF39" s="38">
        <v>29</v>
      </c>
      <c r="BG39" s="40">
        <v>0</v>
      </c>
      <c r="BH39" s="40" t="s">
        <v>1416</v>
      </c>
      <c r="BI39" s="40">
        <v>0</v>
      </c>
    </row>
    <row r="40" spans="1:61" x14ac:dyDescent="0.25">
      <c r="A40" s="6">
        <v>39</v>
      </c>
      <c r="B40" s="6" t="s">
        <v>194</v>
      </c>
      <c r="F40" s="17">
        <v>37352.847418981481</v>
      </c>
      <c r="J40" s="3">
        <v>20960</v>
      </c>
      <c r="O40" s="3">
        <v>47.304000000000002</v>
      </c>
      <c r="P40" s="3">
        <v>11.552</v>
      </c>
      <c r="S40" s="3">
        <v>20960</v>
      </c>
      <c r="W40" s="3" t="s">
        <v>243</v>
      </c>
      <c r="X40" s="3">
        <v>3500</v>
      </c>
      <c r="AA40" s="5">
        <v>40</v>
      </c>
      <c r="AI40" s="44" t="s">
        <v>1320</v>
      </c>
      <c r="AJ40" s="44">
        <v>0</v>
      </c>
      <c r="AR40" s="25">
        <v>0</v>
      </c>
      <c r="AS40" s="54">
        <v>0</v>
      </c>
      <c r="AT40" s="52">
        <v>0</v>
      </c>
      <c r="AU40" s="52">
        <v>0</v>
      </c>
      <c r="AV40" s="52">
        <v>0</v>
      </c>
      <c r="AW40" s="38">
        <v>47</v>
      </c>
      <c r="AX40" s="38">
        <v>5</v>
      </c>
      <c r="AY40" s="38">
        <v>57</v>
      </c>
      <c r="AZ40" s="38">
        <v>58</v>
      </c>
      <c r="BA40" s="38">
        <v>57</v>
      </c>
      <c r="BB40" s="38" t="s">
        <v>259</v>
      </c>
      <c r="BC40" s="38">
        <v>33</v>
      </c>
      <c r="BD40" s="38">
        <v>34</v>
      </c>
      <c r="BE40" s="38" t="s">
        <v>259</v>
      </c>
      <c r="BF40" s="38" t="s">
        <v>259</v>
      </c>
      <c r="BG40" s="40">
        <v>0</v>
      </c>
      <c r="BH40" s="40" t="s">
        <v>1416</v>
      </c>
      <c r="BI40" s="40">
        <v>0</v>
      </c>
    </row>
    <row r="41" spans="1:61" x14ac:dyDescent="0.25">
      <c r="A41" s="6">
        <v>40</v>
      </c>
      <c r="B41" s="6" t="s">
        <v>195</v>
      </c>
      <c r="E41" s="6" t="s">
        <v>631</v>
      </c>
      <c r="F41" s="17">
        <v>23511.752083333333</v>
      </c>
      <c r="G41" s="21">
        <v>2</v>
      </c>
      <c r="H41" s="4">
        <f>F41+G41/24</f>
        <v>23511.835416666665</v>
      </c>
      <c r="O41" s="3">
        <v>43.883299999999998</v>
      </c>
      <c r="P41" s="3">
        <v>1.3833</v>
      </c>
      <c r="W41" s="9" t="s">
        <v>382</v>
      </c>
      <c r="X41" s="3">
        <v>0</v>
      </c>
      <c r="AI41" s="44" t="s">
        <v>1320</v>
      </c>
      <c r="AJ41" s="44">
        <v>0</v>
      </c>
      <c r="AR41" s="25">
        <v>0</v>
      </c>
      <c r="AS41" s="54">
        <v>0</v>
      </c>
      <c r="AT41" s="52">
        <v>0</v>
      </c>
      <c r="AU41" s="52">
        <v>0</v>
      </c>
      <c r="AV41" s="52">
        <v>0</v>
      </c>
      <c r="BG41" s="40">
        <v>0</v>
      </c>
      <c r="BH41" s="40" t="s">
        <v>1416</v>
      </c>
      <c r="BI41" s="40">
        <v>0</v>
      </c>
    </row>
    <row r="42" spans="1:61" x14ac:dyDescent="0.25">
      <c r="A42" s="6">
        <v>41</v>
      </c>
      <c r="B42" s="6" t="s">
        <v>196</v>
      </c>
      <c r="F42" s="17">
        <v>21647.812627314815</v>
      </c>
      <c r="J42" s="3">
        <v>20930</v>
      </c>
      <c r="O42" s="3">
        <v>49.51</v>
      </c>
      <c r="P42" s="3">
        <v>14.83</v>
      </c>
      <c r="S42" s="3">
        <v>20930</v>
      </c>
      <c r="W42" s="3" t="s">
        <v>239</v>
      </c>
      <c r="X42" s="3">
        <v>3570</v>
      </c>
      <c r="AA42" s="5">
        <v>10</v>
      </c>
      <c r="AB42" s="5">
        <v>0</v>
      </c>
      <c r="AI42" s="44" t="s">
        <v>1320</v>
      </c>
      <c r="AJ42" s="44">
        <v>0</v>
      </c>
      <c r="AR42" s="25">
        <v>0</v>
      </c>
      <c r="AS42" s="54">
        <v>0</v>
      </c>
      <c r="AT42" s="52">
        <v>0</v>
      </c>
      <c r="AU42" s="52">
        <v>0</v>
      </c>
      <c r="AV42" s="52">
        <v>0</v>
      </c>
      <c r="AW42" s="38">
        <v>12</v>
      </c>
      <c r="AX42" s="38">
        <v>5</v>
      </c>
      <c r="AY42" s="38">
        <v>78</v>
      </c>
      <c r="AZ42" s="38">
        <v>51</v>
      </c>
      <c r="BA42" s="38">
        <v>52</v>
      </c>
      <c r="BB42" s="38" t="s">
        <v>259</v>
      </c>
      <c r="BC42" s="38">
        <v>31</v>
      </c>
      <c r="BD42" s="38">
        <v>39</v>
      </c>
      <c r="BE42" s="38">
        <v>40</v>
      </c>
      <c r="BF42" s="38" t="s">
        <v>259</v>
      </c>
      <c r="BG42" s="40">
        <v>0</v>
      </c>
      <c r="BH42" s="40" t="s">
        <v>1416</v>
      </c>
      <c r="BI42" s="40">
        <v>0</v>
      </c>
    </row>
    <row r="43" spans="1:61" x14ac:dyDescent="0.25">
      <c r="A43" s="6">
        <v>42</v>
      </c>
      <c r="B43" s="6" t="s">
        <v>197</v>
      </c>
      <c r="F43" s="17">
        <v>22805.75</v>
      </c>
      <c r="G43" s="21">
        <v>1</v>
      </c>
      <c r="H43" s="4">
        <f>F43+G43/24</f>
        <v>22805.791666666668</v>
      </c>
      <c r="O43" s="3">
        <v>50.766599999999997</v>
      </c>
      <c r="P43" s="3">
        <v>3</v>
      </c>
      <c r="W43" s="9" t="s">
        <v>382</v>
      </c>
      <c r="X43" s="3">
        <v>0</v>
      </c>
      <c r="AI43" s="44" t="s">
        <v>1320</v>
      </c>
      <c r="AJ43" s="44">
        <v>0</v>
      </c>
      <c r="AM43" s="23">
        <v>6</v>
      </c>
      <c r="AN43" s="23">
        <v>4.95</v>
      </c>
      <c r="AR43" s="25">
        <v>0</v>
      </c>
      <c r="AS43" s="54">
        <v>0</v>
      </c>
      <c r="AT43" s="52">
        <v>0</v>
      </c>
      <c r="AU43" s="52">
        <v>0</v>
      </c>
      <c r="AV43" s="52">
        <v>0</v>
      </c>
      <c r="AX43" s="38">
        <v>137</v>
      </c>
      <c r="BG43" s="40">
        <v>0</v>
      </c>
      <c r="BH43" s="40" t="s">
        <v>1416</v>
      </c>
      <c r="BI43" s="40">
        <v>0</v>
      </c>
    </row>
    <row r="44" spans="1:61" x14ac:dyDescent="0.25">
      <c r="A44" s="6">
        <v>43</v>
      </c>
      <c r="B44" s="6" t="s">
        <v>198</v>
      </c>
      <c r="F44" s="17">
        <v>14910</v>
      </c>
      <c r="G44" s="21">
        <v>5.5</v>
      </c>
      <c r="H44" s="4">
        <f>F44+G44/24</f>
        <v>14910.229166666666</v>
      </c>
      <c r="O44" s="3">
        <v>22.25</v>
      </c>
      <c r="P44" s="3">
        <v>79</v>
      </c>
      <c r="W44" s="3" t="s">
        <v>382</v>
      </c>
      <c r="X44" s="3">
        <v>0</v>
      </c>
      <c r="AI44" s="44" t="s">
        <v>1320</v>
      </c>
      <c r="AJ44" s="44">
        <v>0</v>
      </c>
      <c r="AN44" s="23">
        <v>0.69099999999999995</v>
      </c>
      <c r="AR44" s="25">
        <v>0</v>
      </c>
      <c r="AS44" s="54">
        <v>0</v>
      </c>
      <c r="AT44" s="52">
        <v>0</v>
      </c>
      <c r="AU44" s="52">
        <v>0</v>
      </c>
      <c r="AV44" s="52">
        <v>0</v>
      </c>
      <c r="AX44" s="38">
        <v>137</v>
      </c>
      <c r="BG44" s="40">
        <v>0</v>
      </c>
      <c r="BH44" s="40" t="s">
        <v>1416</v>
      </c>
      <c r="BI44" s="40">
        <v>0</v>
      </c>
    </row>
    <row r="45" spans="1:61" x14ac:dyDescent="0.25">
      <c r="A45" s="6">
        <v>44</v>
      </c>
      <c r="B45" s="6" t="s">
        <v>199</v>
      </c>
      <c r="F45" s="17">
        <v>17210.020833333332</v>
      </c>
      <c r="G45" s="21">
        <v>10</v>
      </c>
      <c r="H45" s="4">
        <f>F45+G45/24</f>
        <v>17210.4375</v>
      </c>
      <c r="O45" s="3">
        <v>46.16</v>
      </c>
      <c r="P45" s="3">
        <v>134.6533</v>
      </c>
      <c r="W45" s="3" t="s">
        <v>382</v>
      </c>
      <c r="X45" s="3">
        <v>0</v>
      </c>
      <c r="AI45" s="44" t="s">
        <v>1320</v>
      </c>
      <c r="AJ45" s="44">
        <v>0</v>
      </c>
      <c r="AR45" s="25">
        <v>0</v>
      </c>
      <c r="AS45" s="54">
        <v>0</v>
      </c>
      <c r="AT45" s="52">
        <v>0</v>
      </c>
      <c r="AU45" s="52">
        <v>0</v>
      </c>
      <c r="AV45" s="52">
        <v>0</v>
      </c>
      <c r="BG45" s="40">
        <v>0</v>
      </c>
      <c r="BH45" s="40" t="s">
        <v>1416</v>
      </c>
      <c r="BI45" s="40">
        <v>0</v>
      </c>
    </row>
    <row r="46" spans="1:61" x14ac:dyDescent="0.25">
      <c r="A46" s="6">
        <v>45</v>
      </c>
      <c r="B46" s="6" t="s">
        <v>225</v>
      </c>
      <c r="F46" s="17">
        <v>25572.09304398148</v>
      </c>
      <c r="J46" s="3">
        <v>14235</v>
      </c>
      <c r="O46" s="3">
        <v>36.005000000000003</v>
      </c>
      <c r="P46" s="3">
        <v>-95.09</v>
      </c>
      <c r="S46" s="3">
        <v>14235</v>
      </c>
      <c r="W46" s="9" t="s">
        <v>239</v>
      </c>
      <c r="X46" s="3">
        <v>0</v>
      </c>
      <c r="AA46" s="5">
        <v>2</v>
      </c>
      <c r="AI46" s="44" t="s">
        <v>1320</v>
      </c>
      <c r="AJ46" s="44">
        <v>0</v>
      </c>
      <c r="AR46" s="25">
        <v>0</v>
      </c>
      <c r="AS46" s="54">
        <v>0</v>
      </c>
      <c r="AT46" s="52">
        <v>0</v>
      </c>
      <c r="AU46" s="52">
        <v>0</v>
      </c>
      <c r="AV46" s="52">
        <v>0</v>
      </c>
      <c r="AW46" s="38">
        <v>8</v>
      </c>
      <c r="AX46" s="38">
        <v>5</v>
      </c>
      <c r="AY46" s="38">
        <v>79</v>
      </c>
      <c r="AZ46" s="38" t="s">
        <v>259</v>
      </c>
      <c r="BA46" s="38">
        <v>53</v>
      </c>
      <c r="BB46" s="38" t="s">
        <v>259</v>
      </c>
      <c r="BC46" s="38">
        <v>23</v>
      </c>
      <c r="BD46" s="38">
        <v>24</v>
      </c>
      <c r="BE46" s="38">
        <v>25</v>
      </c>
      <c r="BF46" s="38" t="s">
        <v>259</v>
      </c>
      <c r="BG46" s="40">
        <v>0</v>
      </c>
      <c r="BH46" s="40" t="s">
        <v>1416</v>
      </c>
      <c r="BI46" s="40">
        <v>0</v>
      </c>
    </row>
    <row r="47" spans="1:61" x14ac:dyDescent="0.25">
      <c r="A47" s="6">
        <v>46</v>
      </c>
      <c r="B47" s="6" t="s">
        <v>226</v>
      </c>
      <c r="F47" s="17">
        <v>28162.095578703702</v>
      </c>
      <c r="J47" s="3">
        <v>14500</v>
      </c>
      <c r="O47" s="3">
        <v>53.414999999999999</v>
      </c>
      <c r="P47" s="3">
        <v>-111.33799999999999</v>
      </c>
      <c r="S47" s="3">
        <v>14500</v>
      </c>
      <c r="W47" s="3" t="s">
        <v>240</v>
      </c>
      <c r="X47" s="3">
        <v>0</v>
      </c>
      <c r="AA47" s="5">
        <v>100</v>
      </c>
      <c r="AI47" s="44" t="s">
        <v>1320</v>
      </c>
      <c r="AJ47" s="44">
        <v>0</v>
      </c>
      <c r="AR47" s="25">
        <v>0</v>
      </c>
      <c r="AS47" s="54">
        <v>0</v>
      </c>
      <c r="AT47" s="52">
        <v>0</v>
      </c>
      <c r="AU47" s="52">
        <v>0</v>
      </c>
      <c r="AV47" s="52">
        <v>0</v>
      </c>
      <c r="AW47" s="38">
        <v>27</v>
      </c>
      <c r="AX47" s="38">
        <v>5</v>
      </c>
      <c r="AY47" s="38">
        <v>80</v>
      </c>
      <c r="AZ47" s="38" t="s">
        <v>259</v>
      </c>
      <c r="BA47" s="38">
        <v>54</v>
      </c>
      <c r="BB47" s="38" t="s">
        <v>259</v>
      </c>
      <c r="BC47" s="38">
        <v>18</v>
      </c>
      <c r="BD47" s="38">
        <v>19</v>
      </c>
      <c r="BE47" s="38" t="s">
        <v>259</v>
      </c>
      <c r="BF47" s="38" t="s">
        <v>259</v>
      </c>
      <c r="BG47" s="40">
        <v>0</v>
      </c>
      <c r="BH47" s="40" t="s">
        <v>1416</v>
      </c>
      <c r="BI47" s="40">
        <v>0</v>
      </c>
    </row>
    <row r="48" spans="1:61" x14ac:dyDescent="0.25">
      <c r="A48" s="6">
        <v>47</v>
      </c>
      <c r="B48" s="6" t="s">
        <v>186</v>
      </c>
      <c r="F48" s="17">
        <v>33365.961018518516</v>
      </c>
      <c r="J48" s="3">
        <v>21272</v>
      </c>
      <c r="O48" s="3">
        <v>49.661999999999999</v>
      </c>
      <c r="P48" s="3">
        <v>14.635</v>
      </c>
      <c r="S48" s="3">
        <v>21272</v>
      </c>
      <c r="W48" s="9" t="s">
        <v>241</v>
      </c>
      <c r="X48" s="3">
        <v>0</v>
      </c>
      <c r="AA48" s="5">
        <v>5</v>
      </c>
      <c r="AI48" s="44" t="s">
        <v>1320</v>
      </c>
      <c r="AJ48" s="44">
        <v>0</v>
      </c>
      <c r="AR48" s="25">
        <v>0</v>
      </c>
      <c r="AS48" s="54">
        <v>0</v>
      </c>
      <c r="AT48" s="52">
        <v>0</v>
      </c>
      <c r="AU48" s="52">
        <v>0</v>
      </c>
      <c r="AV48" s="52">
        <v>0</v>
      </c>
      <c r="AW48" s="38">
        <v>-1</v>
      </c>
      <c r="AX48" s="38">
        <v>5</v>
      </c>
      <c r="AY48" s="38">
        <v>81</v>
      </c>
      <c r="AZ48" s="38" t="s">
        <v>259</v>
      </c>
      <c r="BA48" s="38" t="s">
        <v>259</v>
      </c>
      <c r="BB48" s="38" t="s">
        <v>259</v>
      </c>
      <c r="BC48" s="38">
        <v>9</v>
      </c>
      <c r="BD48" s="38">
        <v>10</v>
      </c>
      <c r="BE48" s="38" t="s">
        <v>259</v>
      </c>
      <c r="BF48" s="38" t="s">
        <v>259</v>
      </c>
      <c r="BG48" s="40">
        <v>0</v>
      </c>
      <c r="BH48" s="40" t="s">
        <v>1416</v>
      </c>
      <c r="BI48" s="40">
        <v>0</v>
      </c>
    </row>
    <row r="49" spans="1:61" x14ac:dyDescent="0.25">
      <c r="A49" s="6">
        <v>48</v>
      </c>
      <c r="B49" s="6" t="s">
        <v>227</v>
      </c>
      <c r="F49" s="17">
        <v>33886.991666666669</v>
      </c>
      <c r="J49" s="3">
        <v>14720</v>
      </c>
      <c r="M49" s="3">
        <v>76</v>
      </c>
      <c r="O49" s="3">
        <v>39.662999999999997</v>
      </c>
      <c r="P49" s="3">
        <v>-78.206000000000003</v>
      </c>
      <c r="S49" s="3">
        <v>14720</v>
      </c>
      <c r="W49" s="9" t="s">
        <v>242</v>
      </c>
      <c r="X49" s="3">
        <v>0</v>
      </c>
      <c r="AA49" s="5">
        <v>50</v>
      </c>
      <c r="AI49" s="44" t="s">
        <v>1320</v>
      </c>
      <c r="AJ49" s="44">
        <v>0</v>
      </c>
      <c r="AR49" s="25">
        <v>0</v>
      </c>
      <c r="AS49" s="54">
        <v>0</v>
      </c>
      <c r="AT49" s="52">
        <v>0</v>
      </c>
      <c r="AU49" s="52">
        <v>0</v>
      </c>
      <c r="AV49" s="52">
        <v>0</v>
      </c>
      <c r="AW49" s="38">
        <v>31</v>
      </c>
      <c r="AX49" s="38">
        <v>5</v>
      </c>
      <c r="AY49" s="38">
        <v>82</v>
      </c>
      <c r="AZ49" s="38" t="s">
        <v>259</v>
      </c>
      <c r="BA49" s="38">
        <v>55</v>
      </c>
      <c r="BB49" s="38" t="s">
        <v>259</v>
      </c>
      <c r="BC49" s="38">
        <v>31</v>
      </c>
      <c r="BD49" s="38">
        <v>37</v>
      </c>
      <c r="BE49" s="38">
        <v>24</v>
      </c>
      <c r="BF49" s="38" t="s">
        <v>259</v>
      </c>
      <c r="BG49" s="40">
        <v>0</v>
      </c>
      <c r="BH49" s="40" t="s">
        <v>1416</v>
      </c>
      <c r="BI49" s="40">
        <v>0</v>
      </c>
    </row>
    <row r="50" spans="1:61" x14ac:dyDescent="0.25">
      <c r="A50" s="6">
        <v>49</v>
      </c>
      <c r="B50" s="6" t="s">
        <v>228</v>
      </c>
      <c r="F50" s="17">
        <v>36652.494328703702</v>
      </c>
      <c r="J50" s="3">
        <v>22500</v>
      </c>
      <c r="O50" s="3">
        <v>50.23</v>
      </c>
      <c r="P50" s="3">
        <v>18.45</v>
      </c>
      <c r="S50" s="3">
        <v>22500</v>
      </c>
      <c r="W50" s="3" t="s">
        <v>239</v>
      </c>
      <c r="X50" s="3">
        <v>3590</v>
      </c>
      <c r="AA50" s="5">
        <v>300</v>
      </c>
      <c r="AI50" s="44" t="s">
        <v>1320</v>
      </c>
      <c r="AJ50" s="44">
        <v>0</v>
      </c>
      <c r="AR50" s="25">
        <v>0</v>
      </c>
      <c r="AS50" s="54">
        <v>0</v>
      </c>
      <c r="AT50" s="52">
        <v>0</v>
      </c>
      <c r="AU50" s="52">
        <v>0</v>
      </c>
      <c r="AV50" s="52">
        <v>0</v>
      </c>
      <c r="AW50" s="38">
        <v>6.7</v>
      </c>
      <c r="AX50" s="38">
        <v>5</v>
      </c>
      <c r="AY50" s="38">
        <v>33</v>
      </c>
      <c r="AZ50" s="38">
        <v>33</v>
      </c>
      <c r="BA50" s="38">
        <v>33</v>
      </c>
      <c r="BB50" s="38" t="s">
        <v>259</v>
      </c>
      <c r="BC50" s="38">
        <v>31</v>
      </c>
      <c r="BD50" s="38">
        <v>31</v>
      </c>
      <c r="BE50" s="38" t="s">
        <v>259</v>
      </c>
      <c r="BF50" s="38" t="s">
        <v>259</v>
      </c>
      <c r="BG50" s="40">
        <v>0</v>
      </c>
      <c r="BH50" s="40" t="s">
        <v>1416</v>
      </c>
      <c r="BI50" s="40">
        <v>0</v>
      </c>
    </row>
    <row r="51" spans="1:61" x14ac:dyDescent="0.25">
      <c r="A51" s="6">
        <v>50</v>
      </c>
      <c r="B51" s="6" t="s">
        <v>229</v>
      </c>
      <c r="F51" s="17">
        <v>37990.699131944442</v>
      </c>
      <c r="J51" s="3">
        <v>16900</v>
      </c>
      <c r="O51" s="3">
        <v>42.771000000000001</v>
      </c>
      <c r="P51" s="3">
        <v>-4.7889999999999997</v>
      </c>
      <c r="S51" s="3">
        <v>16900</v>
      </c>
      <c r="W51" s="3" t="s">
        <v>245</v>
      </c>
      <c r="X51" s="3">
        <v>3420</v>
      </c>
      <c r="AA51" s="5">
        <v>40</v>
      </c>
      <c r="AI51" s="44" t="s">
        <v>1320</v>
      </c>
      <c r="AJ51" s="44">
        <v>0</v>
      </c>
      <c r="AR51" s="25">
        <v>0</v>
      </c>
      <c r="AS51" s="54">
        <v>0</v>
      </c>
      <c r="AT51" s="52">
        <v>0</v>
      </c>
      <c r="AU51" s="52">
        <v>0</v>
      </c>
      <c r="AV51" s="52">
        <v>0</v>
      </c>
      <c r="AW51" s="38">
        <v>48</v>
      </c>
      <c r="AX51" s="38">
        <v>5</v>
      </c>
      <c r="AY51" s="38">
        <v>47</v>
      </c>
      <c r="AZ51" s="38">
        <v>47</v>
      </c>
      <c r="BA51" s="38">
        <v>47</v>
      </c>
      <c r="BB51" s="38" t="s">
        <v>259</v>
      </c>
      <c r="BC51" s="38">
        <v>46</v>
      </c>
      <c r="BD51" s="38">
        <v>47</v>
      </c>
      <c r="BE51" s="38" t="s">
        <v>259</v>
      </c>
      <c r="BF51" s="38" t="s">
        <v>259</v>
      </c>
      <c r="BG51" s="40">
        <v>0</v>
      </c>
      <c r="BH51" s="40" t="s">
        <v>1416</v>
      </c>
      <c r="BI51" s="40">
        <v>0</v>
      </c>
    </row>
    <row r="52" spans="1:61" x14ac:dyDescent="0.25">
      <c r="A52" s="6">
        <v>51</v>
      </c>
      <c r="B52" s="6" t="s">
        <v>230</v>
      </c>
      <c r="F52" s="17">
        <v>39728.115034722221</v>
      </c>
      <c r="J52" s="3">
        <v>12760</v>
      </c>
      <c r="O52" s="3">
        <v>20.858000000000001</v>
      </c>
      <c r="P52" s="3">
        <v>31.803999999999998</v>
      </c>
      <c r="S52" s="3">
        <v>12760</v>
      </c>
      <c r="W52" s="3" t="s">
        <v>247</v>
      </c>
      <c r="X52" s="3">
        <v>3100</v>
      </c>
      <c r="AA52" s="5">
        <v>1</v>
      </c>
      <c r="AI52" s="44" t="s">
        <v>1320</v>
      </c>
      <c r="AJ52" s="44">
        <v>0</v>
      </c>
      <c r="AR52" s="25">
        <v>0</v>
      </c>
      <c r="AS52" s="54">
        <v>0</v>
      </c>
      <c r="AT52" s="52">
        <v>0</v>
      </c>
      <c r="AU52" s="52">
        <v>0</v>
      </c>
      <c r="AV52" s="52">
        <v>0</v>
      </c>
      <c r="AW52" s="38">
        <v>19</v>
      </c>
      <c r="AX52" s="38">
        <v>5</v>
      </c>
      <c r="AY52" s="38">
        <v>6</v>
      </c>
      <c r="AZ52" s="38">
        <v>63</v>
      </c>
      <c r="BA52" s="38">
        <v>64</v>
      </c>
      <c r="BB52" s="38" t="s">
        <v>259</v>
      </c>
      <c r="BC52" s="38">
        <v>6</v>
      </c>
      <c r="BD52" s="38">
        <v>7</v>
      </c>
      <c r="BE52" s="38" t="s">
        <v>259</v>
      </c>
      <c r="BF52" s="38" t="s">
        <v>259</v>
      </c>
      <c r="BG52" s="40">
        <v>0</v>
      </c>
      <c r="BH52" s="40" t="s">
        <v>1416</v>
      </c>
      <c r="BI52" s="40">
        <v>0</v>
      </c>
    </row>
    <row r="53" spans="1:61" x14ac:dyDescent="0.25">
      <c r="A53" s="6">
        <v>52</v>
      </c>
      <c r="B53" s="6" t="s">
        <v>231</v>
      </c>
      <c r="F53" s="17">
        <v>39773.018553240741</v>
      </c>
      <c r="J53" s="3">
        <v>18050</v>
      </c>
      <c r="O53" s="3">
        <v>53.183</v>
      </c>
      <c r="P53" s="3">
        <v>-109.875</v>
      </c>
      <c r="S53" s="3">
        <v>18050</v>
      </c>
      <c r="W53" s="9" t="s">
        <v>215</v>
      </c>
      <c r="X53" s="3">
        <v>3460</v>
      </c>
      <c r="AA53" s="5">
        <v>400</v>
      </c>
      <c r="AI53" s="44" t="s">
        <v>1320</v>
      </c>
      <c r="AJ53" s="44">
        <v>0</v>
      </c>
      <c r="AR53" s="25">
        <v>0</v>
      </c>
      <c r="AS53" s="54">
        <v>0</v>
      </c>
      <c r="AT53" s="52">
        <v>0</v>
      </c>
      <c r="AU53" s="52">
        <v>0</v>
      </c>
      <c r="AV53" s="52">
        <v>0</v>
      </c>
      <c r="AW53" s="38">
        <v>-1</v>
      </c>
      <c r="AX53" s="38">
        <v>5</v>
      </c>
      <c r="AY53" s="38">
        <v>65</v>
      </c>
      <c r="AZ53" s="38">
        <v>66</v>
      </c>
      <c r="BA53" s="38" t="s">
        <v>259</v>
      </c>
      <c r="BB53" s="38" t="s">
        <v>259</v>
      </c>
      <c r="BC53" s="38">
        <v>12</v>
      </c>
      <c r="BD53" s="38">
        <v>13</v>
      </c>
      <c r="BE53" s="38" t="s">
        <v>259</v>
      </c>
      <c r="BF53" s="38" t="s">
        <v>259</v>
      </c>
      <c r="BG53" s="40">
        <v>0</v>
      </c>
      <c r="BH53" s="40" t="s">
        <v>1416</v>
      </c>
      <c r="BI53" s="40">
        <v>0</v>
      </c>
    </row>
    <row r="54" spans="1:61" x14ac:dyDescent="0.25">
      <c r="A54" s="6">
        <v>53</v>
      </c>
      <c r="B54" s="6" t="s">
        <v>1559</v>
      </c>
      <c r="F54" s="17">
        <v>39912.04142361111</v>
      </c>
      <c r="J54" s="3">
        <v>13800</v>
      </c>
      <c r="O54" s="3">
        <v>46.661999999999999</v>
      </c>
      <c r="P54" s="3">
        <v>13.692</v>
      </c>
      <c r="S54" s="3">
        <v>13800</v>
      </c>
      <c r="W54" s="9" t="s">
        <v>245</v>
      </c>
      <c r="X54" s="3">
        <v>0</v>
      </c>
      <c r="AA54" s="5">
        <v>250</v>
      </c>
      <c r="AI54" s="44" t="s">
        <v>1320</v>
      </c>
      <c r="AJ54" s="44">
        <v>0</v>
      </c>
      <c r="AR54" s="25">
        <v>0</v>
      </c>
      <c r="AS54" s="54">
        <v>0</v>
      </c>
      <c r="AT54" s="52">
        <v>0</v>
      </c>
      <c r="AU54" s="52">
        <v>0</v>
      </c>
      <c r="AV54" s="52">
        <v>0</v>
      </c>
      <c r="AW54" s="38">
        <v>4</v>
      </c>
      <c r="AX54" s="38">
        <v>5</v>
      </c>
      <c r="AY54" s="38">
        <v>68</v>
      </c>
      <c r="AZ54" s="38" t="s">
        <v>259</v>
      </c>
      <c r="BA54" s="38">
        <v>68</v>
      </c>
      <c r="BB54" s="38" t="s">
        <v>259</v>
      </c>
      <c r="BC54" s="38">
        <v>20</v>
      </c>
      <c r="BD54" s="38" t="s">
        <v>259</v>
      </c>
      <c r="BE54" s="38" t="s">
        <v>259</v>
      </c>
      <c r="BF54" s="38" t="s">
        <v>259</v>
      </c>
      <c r="BG54" s="40">
        <v>0</v>
      </c>
      <c r="BH54" s="40" t="s">
        <v>1416</v>
      </c>
      <c r="BI54" s="40">
        <v>0</v>
      </c>
    </row>
    <row r="55" spans="1:61" x14ac:dyDescent="0.25">
      <c r="A55" s="6">
        <v>54</v>
      </c>
      <c r="B55" s="6" t="s">
        <v>232</v>
      </c>
      <c r="F55" s="17">
        <v>40237.933865740742</v>
      </c>
      <c r="J55" s="3">
        <v>14900</v>
      </c>
      <c r="O55" s="3">
        <v>20.704999999999998</v>
      </c>
      <c r="P55" s="3">
        <v>48.667000000000002</v>
      </c>
      <c r="S55" s="3">
        <v>14900</v>
      </c>
      <c r="W55" s="9" t="s">
        <v>239</v>
      </c>
      <c r="X55" s="3">
        <v>3430</v>
      </c>
      <c r="AA55" s="5">
        <v>350</v>
      </c>
      <c r="AI55" s="44" t="s">
        <v>1320</v>
      </c>
      <c r="AJ55" s="44">
        <v>0</v>
      </c>
      <c r="AR55" s="25">
        <v>0</v>
      </c>
      <c r="AS55" s="54">
        <v>0</v>
      </c>
      <c r="AT55" s="52">
        <v>0</v>
      </c>
      <c r="AU55" s="52">
        <v>0</v>
      </c>
      <c r="AV55" s="52">
        <v>0</v>
      </c>
      <c r="AW55" s="38">
        <v>6</v>
      </c>
      <c r="AX55" s="38">
        <v>5</v>
      </c>
      <c r="AY55" s="38">
        <v>70</v>
      </c>
      <c r="AZ55" s="38">
        <v>71</v>
      </c>
      <c r="BA55" s="38">
        <v>83</v>
      </c>
      <c r="BB55" s="38" t="s">
        <v>259</v>
      </c>
      <c r="BC55" s="38">
        <v>21</v>
      </c>
      <c r="BD55" s="38" t="s">
        <v>259</v>
      </c>
      <c r="BE55" s="38" t="s">
        <v>259</v>
      </c>
      <c r="BF55" s="38" t="s">
        <v>259</v>
      </c>
      <c r="BG55" s="40">
        <v>0</v>
      </c>
      <c r="BH55" s="40" t="s">
        <v>1416</v>
      </c>
      <c r="BI55" s="40">
        <v>0</v>
      </c>
    </row>
    <row r="56" spans="1:61" x14ac:dyDescent="0.25">
      <c r="A56" s="6">
        <v>55</v>
      </c>
      <c r="B56" s="6" t="s">
        <v>233</v>
      </c>
      <c r="F56" s="17">
        <v>40281.441805555558</v>
      </c>
      <c r="J56" s="3">
        <v>14680</v>
      </c>
      <c r="O56" s="3">
        <v>-30.274999999999999</v>
      </c>
      <c r="P56" s="3">
        <v>128.215</v>
      </c>
      <c r="S56" s="3">
        <v>14680</v>
      </c>
      <c r="W56" s="9" t="s">
        <v>239</v>
      </c>
      <c r="X56" s="3">
        <v>3320</v>
      </c>
      <c r="AA56" s="5">
        <v>11</v>
      </c>
      <c r="AI56" s="44" t="s">
        <v>1320</v>
      </c>
      <c r="AJ56" s="44">
        <v>0</v>
      </c>
      <c r="AR56" s="25">
        <v>0</v>
      </c>
      <c r="AS56" s="54">
        <v>0</v>
      </c>
      <c r="AT56" s="52">
        <v>0</v>
      </c>
      <c r="AU56" s="52">
        <v>0</v>
      </c>
      <c r="AV56" s="52">
        <v>0</v>
      </c>
      <c r="AW56" s="38">
        <v>-1</v>
      </c>
      <c r="AX56" s="38">
        <v>5</v>
      </c>
      <c r="AY56" s="38">
        <v>72</v>
      </c>
      <c r="AZ56" s="38">
        <v>59</v>
      </c>
      <c r="BA56" s="38" t="s">
        <v>259</v>
      </c>
      <c r="BB56" s="38" t="s">
        <v>259</v>
      </c>
      <c r="BC56" s="38">
        <v>30</v>
      </c>
      <c r="BD56" s="38" t="s">
        <v>259</v>
      </c>
      <c r="BE56" s="38" t="s">
        <v>259</v>
      </c>
      <c r="BF56" s="38" t="s">
        <v>259</v>
      </c>
      <c r="BG56" s="40">
        <v>0</v>
      </c>
      <c r="BH56" s="40" t="s">
        <v>1416</v>
      </c>
      <c r="BI56" s="40">
        <v>0</v>
      </c>
    </row>
    <row r="57" spans="1:61" x14ac:dyDescent="0.25">
      <c r="A57" s="6">
        <v>56</v>
      </c>
      <c r="B57" s="6" t="s">
        <v>234</v>
      </c>
      <c r="F57" s="17">
        <v>40578.972673611112</v>
      </c>
      <c r="J57" s="3">
        <v>18210</v>
      </c>
      <c r="O57" s="3">
        <v>45.732999999999997</v>
      </c>
      <c r="P57" s="3">
        <v>16.43</v>
      </c>
      <c r="S57" s="3">
        <v>18210</v>
      </c>
      <c r="W57" s="9" t="s">
        <v>242</v>
      </c>
      <c r="X57" s="3">
        <v>0</v>
      </c>
      <c r="AA57" s="5">
        <v>70</v>
      </c>
      <c r="AI57" s="44" t="s">
        <v>1320</v>
      </c>
      <c r="AJ57" s="44">
        <v>0</v>
      </c>
      <c r="AR57" s="25">
        <v>0</v>
      </c>
      <c r="AS57" s="54">
        <v>0</v>
      </c>
      <c r="AT57" s="52">
        <v>0</v>
      </c>
      <c r="AU57" s="52">
        <v>0</v>
      </c>
      <c r="AV57" s="52">
        <v>0</v>
      </c>
      <c r="AW57" s="38">
        <v>-1</v>
      </c>
      <c r="AX57" s="38">
        <v>5</v>
      </c>
      <c r="AY57" s="38">
        <v>73</v>
      </c>
      <c r="AZ57" s="38" t="s">
        <v>259</v>
      </c>
      <c r="BA57" s="38" t="s">
        <v>259</v>
      </c>
      <c r="BB57" s="38" t="s">
        <v>259</v>
      </c>
      <c r="BC57" s="38">
        <v>22</v>
      </c>
      <c r="BD57" s="38" t="s">
        <v>259</v>
      </c>
      <c r="BE57" s="38" t="s">
        <v>259</v>
      </c>
      <c r="BF57" s="38" t="s">
        <v>259</v>
      </c>
      <c r="BG57" s="40">
        <v>0</v>
      </c>
      <c r="BH57" s="40" t="s">
        <v>1416</v>
      </c>
      <c r="BI57" s="40">
        <v>0</v>
      </c>
    </row>
    <row r="58" spans="1:61" x14ac:dyDescent="0.25">
      <c r="A58" s="6">
        <v>57</v>
      </c>
      <c r="B58" s="6" t="s">
        <v>235</v>
      </c>
      <c r="F58" s="17">
        <v>41200.114236111112</v>
      </c>
      <c r="J58" s="3">
        <v>13750</v>
      </c>
      <c r="O58" s="3">
        <v>36.295000000000002</v>
      </c>
      <c r="P58" s="3">
        <v>-123.46299999999999</v>
      </c>
      <c r="S58" s="3">
        <v>13750</v>
      </c>
      <c r="W58" s="9" t="s">
        <v>245</v>
      </c>
      <c r="X58" s="3">
        <v>3270</v>
      </c>
      <c r="AA58" s="5">
        <v>120</v>
      </c>
      <c r="AI58" s="44" t="s">
        <v>1320</v>
      </c>
      <c r="AJ58" s="44">
        <v>0</v>
      </c>
      <c r="AR58" s="25">
        <v>0</v>
      </c>
      <c r="AS58" s="54">
        <v>0</v>
      </c>
      <c r="AT58" s="52">
        <v>0</v>
      </c>
      <c r="AU58" s="52">
        <v>0</v>
      </c>
      <c r="AV58" s="52">
        <v>0</v>
      </c>
      <c r="AW58" s="38">
        <v>9</v>
      </c>
      <c r="AX58" s="38">
        <v>5</v>
      </c>
      <c r="AY58" s="38">
        <v>36</v>
      </c>
      <c r="AZ58" s="38">
        <v>36</v>
      </c>
      <c r="BA58" s="38">
        <v>36</v>
      </c>
      <c r="BB58" s="38" t="s">
        <v>259</v>
      </c>
      <c r="BC58" s="38">
        <v>35</v>
      </c>
      <c r="BD58" s="38" t="s">
        <v>259</v>
      </c>
      <c r="BE58" s="38" t="s">
        <v>259</v>
      </c>
      <c r="BF58" s="38" t="s">
        <v>259</v>
      </c>
      <c r="BG58" s="40">
        <v>0</v>
      </c>
      <c r="BH58" s="40" t="s">
        <v>1416</v>
      </c>
      <c r="BI58" s="40">
        <v>0</v>
      </c>
    </row>
    <row r="59" spans="1:61" x14ac:dyDescent="0.25">
      <c r="A59" s="6">
        <v>58</v>
      </c>
      <c r="B59" s="6" t="s">
        <v>236</v>
      </c>
      <c r="F59" s="17">
        <v>41747.926481481481</v>
      </c>
      <c r="J59" s="3">
        <v>24200</v>
      </c>
      <c r="O59" s="3">
        <v>68.775000000000006</v>
      </c>
      <c r="P59" s="3">
        <v>30.786999999999999</v>
      </c>
      <c r="S59" s="3">
        <v>24200</v>
      </c>
      <c r="W59" s="9" t="s">
        <v>239</v>
      </c>
      <c r="X59" s="3">
        <v>3500</v>
      </c>
      <c r="AA59" s="5">
        <v>500</v>
      </c>
      <c r="AI59" s="44" t="s">
        <v>1320</v>
      </c>
      <c r="AJ59" s="44">
        <v>0</v>
      </c>
      <c r="AR59" s="25">
        <v>0</v>
      </c>
      <c r="AS59" s="54">
        <v>0</v>
      </c>
      <c r="AT59" s="52">
        <v>0</v>
      </c>
      <c r="AU59" s="52">
        <v>0</v>
      </c>
      <c r="AV59" s="52">
        <v>0</v>
      </c>
      <c r="AW59" s="38">
        <v>30</v>
      </c>
      <c r="AX59" s="38">
        <v>5</v>
      </c>
      <c r="AY59" s="38">
        <v>77</v>
      </c>
      <c r="AZ59" s="38">
        <v>77</v>
      </c>
      <c r="BA59" s="38">
        <v>77</v>
      </c>
      <c r="BB59" s="38" t="s">
        <v>259</v>
      </c>
      <c r="BC59" s="38">
        <v>8</v>
      </c>
      <c r="BD59" s="38" t="s">
        <v>259</v>
      </c>
      <c r="BE59" s="38" t="s">
        <v>259</v>
      </c>
      <c r="BF59" s="38" t="s">
        <v>259</v>
      </c>
      <c r="BG59" s="40">
        <v>0</v>
      </c>
      <c r="BH59" s="40" t="s">
        <v>1416</v>
      </c>
      <c r="BI59" s="40">
        <v>0</v>
      </c>
    </row>
    <row r="60" spans="1:61" x14ac:dyDescent="0.25">
      <c r="A60" s="6">
        <v>59</v>
      </c>
      <c r="B60" s="6" t="s">
        <v>237</v>
      </c>
      <c r="C60" s="6" t="s">
        <v>237</v>
      </c>
      <c r="D60" s="6" t="s">
        <v>1166</v>
      </c>
      <c r="E60" s="6" t="s">
        <v>1167</v>
      </c>
      <c r="F60" s="17">
        <v>41982.678356481483</v>
      </c>
      <c r="G60" s="21">
        <v>1</v>
      </c>
      <c r="H60" s="4">
        <f>F60+G60/24</f>
        <v>41982.720023148147</v>
      </c>
      <c r="I60" s="3">
        <v>150</v>
      </c>
      <c r="J60" s="3">
        <v>21890</v>
      </c>
      <c r="K60" s="3">
        <f>I60*J60^2/2/4.184/10^12</f>
        <v>8.589366037284895E-3</v>
      </c>
      <c r="L60" s="3">
        <v>252.833</v>
      </c>
      <c r="M60" s="3">
        <v>63.965000000000003</v>
      </c>
      <c r="N60" s="3" t="s">
        <v>1334</v>
      </c>
      <c r="O60" s="3">
        <v>49.516089999999998</v>
      </c>
      <c r="P60" s="3">
        <v>15.9909</v>
      </c>
      <c r="Q60" s="3">
        <v>24710</v>
      </c>
      <c r="R60" s="3">
        <v>24710</v>
      </c>
      <c r="S60" s="3">
        <v>21970</v>
      </c>
      <c r="T60" s="3">
        <v>64.704999999999998</v>
      </c>
      <c r="U60" s="3">
        <v>24600</v>
      </c>
      <c r="V60" s="3" t="s">
        <v>115</v>
      </c>
      <c r="W60" s="9" t="s">
        <v>249</v>
      </c>
      <c r="X60" s="3">
        <v>3050</v>
      </c>
      <c r="Y60" s="3">
        <v>98062</v>
      </c>
      <c r="Z60" s="3">
        <v>98062</v>
      </c>
      <c r="AA60" s="5">
        <v>20</v>
      </c>
      <c r="AB60" s="5">
        <v>4.0000000000000001E-3</v>
      </c>
      <c r="AC60" s="5">
        <v>4.0000000000000001E-3</v>
      </c>
      <c r="AD60" s="5">
        <v>6.0000000000000002E-5</v>
      </c>
      <c r="AE60" s="5">
        <v>4.0000000000000003E-5</v>
      </c>
      <c r="AF60" s="5">
        <v>20</v>
      </c>
      <c r="AG60" s="5">
        <v>-1.5</v>
      </c>
      <c r="AH60" s="5">
        <v>1.5</v>
      </c>
      <c r="AI60" s="44" t="s">
        <v>1320</v>
      </c>
      <c r="AJ60" s="44">
        <v>0</v>
      </c>
      <c r="AL60" s="23">
        <v>0</v>
      </c>
      <c r="AM60" s="23">
        <v>0</v>
      </c>
      <c r="AN60" s="23">
        <v>0</v>
      </c>
      <c r="AO60" s="23">
        <v>0</v>
      </c>
      <c r="AP60" s="23">
        <v>0</v>
      </c>
      <c r="AQ60" s="23">
        <v>0</v>
      </c>
      <c r="AR60" s="25">
        <v>0</v>
      </c>
      <c r="AS60" s="54">
        <v>0</v>
      </c>
      <c r="AT60" s="52">
        <v>0</v>
      </c>
      <c r="AU60" s="52">
        <v>0</v>
      </c>
      <c r="AV60" s="52">
        <v>0</v>
      </c>
      <c r="AW60" s="38">
        <v>-1</v>
      </c>
      <c r="AX60" s="38">
        <v>132</v>
      </c>
      <c r="AY60" s="38">
        <v>48</v>
      </c>
      <c r="AZ60" s="38">
        <v>48</v>
      </c>
      <c r="BA60" s="38" t="s">
        <v>259</v>
      </c>
      <c r="BB60" s="38">
        <v>132</v>
      </c>
      <c r="BC60" s="38">
        <v>132</v>
      </c>
      <c r="BD60" s="38">
        <v>48</v>
      </c>
      <c r="BE60" s="38" t="s">
        <v>259</v>
      </c>
      <c r="BF60" s="38" t="s">
        <v>259</v>
      </c>
      <c r="BG60" s="40">
        <v>0</v>
      </c>
      <c r="BH60" s="40" t="s">
        <v>1416</v>
      </c>
      <c r="BI60" s="40">
        <v>0</v>
      </c>
    </row>
    <row r="61" spans="1:61" x14ac:dyDescent="0.25">
      <c r="A61" s="6">
        <v>60</v>
      </c>
      <c r="B61" s="6" t="s">
        <v>238</v>
      </c>
      <c r="F61" s="17">
        <v>42406.878125000003</v>
      </c>
      <c r="J61" s="3">
        <v>14500</v>
      </c>
      <c r="O61" s="3">
        <v>55.448999999999998</v>
      </c>
      <c r="P61" s="3">
        <v>11.912000000000001</v>
      </c>
      <c r="S61" s="3">
        <v>14500</v>
      </c>
      <c r="W61" s="9" t="s">
        <v>250</v>
      </c>
      <c r="X61" s="3">
        <v>0</v>
      </c>
      <c r="AA61" s="5">
        <v>100</v>
      </c>
      <c r="AI61" s="44" t="s">
        <v>1320</v>
      </c>
      <c r="AJ61" s="44">
        <v>0</v>
      </c>
      <c r="AR61" s="25">
        <v>0</v>
      </c>
      <c r="AS61" s="54">
        <v>0</v>
      </c>
      <c r="AT61" s="52">
        <v>0</v>
      </c>
      <c r="AU61" s="52">
        <v>0</v>
      </c>
      <c r="AV61" s="52">
        <v>0</v>
      </c>
      <c r="AW61" s="38">
        <v>-1</v>
      </c>
      <c r="AX61" s="38">
        <v>5</v>
      </c>
      <c r="AY61" s="38">
        <v>16</v>
      </c>
      <c r="AZ61" s="38" t="s">
        <v>259</v>
      </c>
      <c r="BA61" s="38" t="s">
        <v>259</v>
      </c>
      <c r="BB61" s="38" t="s">
        <v>259</v>
      </c>
      <c r="BC61" s="38">
        <v>16</v>
      </c>
      <c r="BD61" s="38" t="s">
        <v>259</v>
      </c>
      <c r="BE61" s="38" t="s">
        <v>259</v>
      </c>
      <c r="BF61" s="38" t="s">
        <v>259</v>
      </c>
      <c r="BG61" s="40">
        <v>0</v>
      </c>
      <c r="BH61" s="40" t="s">
        <v>1416</v>
      </c>
      <c r="BI61" s="40">
        <v>0</v>
      </c>
    </row>
    <row r="62" spans="1:61" x14ac:dyDescent="0.25">
      <c r="A62" s="6">
        <v>61</v>
      </c>
      <c r="B62" s="6" t="s">
        <v>383</v>
      </c>
      <c r="C62" s="6" t="s">
        <v>383</v>
      </c>
      <c r="D62" s="6" t="s">
        <v>385</v>
      </c>
      <c r="E62" s="6" t="s">
        <v>384</v>
      </c>
      <c r="F62" s="17">
        <v>39060.271666666667</v>
      </c>
      <c r="G62" s="21">
        <v>2</v>
      </c>
      <c r="H62" s="4">
        <f t="shared" ref="H62:H71" si="3">F62+G62/24</f>
        <v>39060.355000000003</v>
      </c>
      <c r="I62" s="3">
        <v>465681</v>
      </c>
      <c r="J62" s="3">
        <v>15861</v>
      </c>
      <c r="K62" s="3">
        <f t="shared" ref="K62:K72" si="4">I62*J62^2/2/4.184/10^12</f>
        <v>13.99999812793989</v>
      </c>
      <c r="L62" s="3">
        <v>278.709</v>
      </c>
      <c r="M62" s="3">
        <v>87.27</v>
      </c>
      <c r="N62" s="3" t="s">
        <v>1270</v>
      </c>
      <c r="O62" s="3">
        <v>26.2</v>
      </c>
      <c r="P62" s="3">
        <v>26</v>
      </c>
      <c r="Q62" s="3">
        <v>26500</v>
      </c>
      <c r="R62" s="3">
        <v>40700</v>
      </c>
      <c r="S62" s="3">
        <v>15860</v>
      </c>
      <c r="T62" s="3">
        <v>85.509</v>
      </c>
      <c r="U62" s="3">
        <v>13000</v>
      </c>
      <c r="V62" s="3" t="s">
        <v>144</v>
      </c>
      <c r="W62" s="9" t="s">
        <v>382</v>
      </c>
      <c r="X62" s="3">
        <v>0</v>
      </c>
      <c r="Y62" s="3">
        <v>60000</v>
      </c>
      <c r="Z62" s="3">
        <v>60000</v>
      </c>
      <c r="AA62" s="5">
        <v>500</v>
      </c>
      <c r="AB62" s="5">
        <v>2</v>
      </c>
      <c r="AC62" s="5">
        <v>2</v>
      </c>
      <c r="AD62" s="5">
        <v>0.05</v>
      </c>
      <c r="AE62" s="5">
        <v>0.05</v>
      </c>
      <c r="AF62" s="5">
        <v>500</v>
      </c>
      <c r="AG62" s="5">
        <v>-1</v>
      </c>
      <c r="AH62" s="5">
        <v>1</v>
      </c>
      <c r="AI62" s="44" t="s">
        <v>1320</v>
      </c>
      <c r="AJ62" s="44">
        <v>0</v>
      </c>
      <c r="AL62" s="23">
        <v>0</v>
      </c>
      <c r="AM62" s="23">
        <v>0</v>
      </c>
      <c r="AN62" s="23">
        <v>0</v>
      </c>
      <c r="AO62" s="23">
        <v>0</v>
      </c>
      <c r="AP62" s="23">
        <v>0</v>
      </c>
      <c r="AQ62" s="23">
        <v>0</v>
      </c>
      <c r="AR62" s="25">
        <v>0</v>
      </c>
      <c r="AS62" s="54">
        <v>0</v>
      </c>
      <c r="AT62" s="52">
        <v>0</v>
      </c>
      <c r="AU62" s="52">
        <v>0</v>
      </c>
      <c r="AV62" s="52">
        <v>0</v>
      </c>
      <c r="AW62" s="38">
        <v>0</v>
      </c>
      <c r="AX62" s="38">
        <v>0</v>
      </c>
      <c r="AY62" s="38">
        <v>0</v>
      </c>
      <c r="AZ62" s="38">
        <v>0</v>
      </c>
      <c r="BA62" s="38">
        <v>0</v>
      </c>
      <c r="BB62" s="38">
        <v>0</v>
      </c>
      <c r="BC62" s="38">
        <v>4</v>
      </c>
      <c r="BD62" s="38">
        <v>0</v>
      </c>
      <c r="BE62" s="38">
        <v>0</v>
      </c>
      <c r="BF62" s="38">
        <v>0</v>
      </c>
      <c r="BG62" s="41">
        <v>2</v>
      </c>
      <c r="BH62" s="40" t="s">
        <v>2222</v>
      </c>
      <c r="BI62" s="40">
        <v>0</v>
      </c>
    </row>
    <row r="63" spans="1:61" x14ac:dyDescent="0.25">
      <c r="A63" s="6">
        <v>62</v>
      </c>
      <c r="B63" s="6" t="s">
        <v>390</v>
      </c>
      <c r="C63" s="6" t="s">
        <v>390</v>
      </c>
      <c r="D63" s="6" t="s">
        <v>393</v>
      </c>
      <c r="E63" s="6" t="s">
        <v>391</v>
      </c>
      <c r="F63" s="17">
        <v>42249.84058935185</v>
      </c>
      <c r="G63" s="21">
        <v>2</v>
      </c>
      <c r="H63" s="4">
        <f t="shared" si="3"/>
        <v>42249.923922685186</v>
      </c>
      <c r="I63" s="37">
        <v>1879</v>
      </c>
      <c r="J63" s="3">
        <v>17100</v>
      </c>
      <c r="K63" s="3">
        <f t="shared" si="4"/>
        <v>6.5659463432122367E-2</v>
      </c>
      <c r="L63" s="3">
        <v>140.69999999999999</v>
      </c>
      <c r="M63" s="3">
        <v>36.6</v>
      </c>
      <c r="N63" s="3" t="s">
        <v>1270</v>
      </c>
      <c r="O63" s="3">
        <v>38.9268</v>
      </c>
      <c r="P63" s="3">
        <v>40.568300000000001</v>
      </c>
      <c r="Q63" s="3">
        <v>21300</v>
      </c>
      <c r="R63" s="3">
        <v>21300</v>
      </c>
      <c r="S63" s="3">
        <v>17100</v>
      </c>
      <c r="T63" s="3">
        <v>36.6</v>
      </c>
      <c r="U63" s="3">
        <v>21300</v>
      </c>
      <c r="V63" s="3" t="s">
        <v>81</v>
      </c>
      <c r="W63" s="3" t="s">
        <v>392</v>
      </c>
      <c r="X63" s="3">
        <v>3209</v>
      </c>
      <c r="Y63" s="3">
        <v>85000</v>
      </c>
      <c r="Z63" s="3">
        <v>85000</v>
      </c>
      <c r="AA63" s="5">
        <v>800</v>
      </c>
      <c r="AB63" s="5">
        <v>1</v>
      </c>
      <c r="AC63" s="5">
        <v>0.8</v>
      </c>
      <c r="AD63" s="5">
        <v>8.9999999999999993E-3</v>
      </c>
      <c r="AE63" s="5">
        <v>8.9999999999999993E-3</v>
      </c>
      <c r="AF63" s="5">
        <v>500</v>
      </c>
      <c r="AG63" s="5">
        <v>-1.5</v>
      </c>
      <c r="AH63" s="5">
        <v>1.5</v>
      </c>
      <c r="AI63" s="44" t="s">
        <v>1320</v>
      </c>
      <c r="AJ63" s="44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5">
        <v>0</v>
      </c>
      <c r="AS63" s="54">
        <v>0</v>
      </c>
      <c r="AT63" s="52">
        <v>0</v>
      </c>
      <c r="AU63" s="52">
        <v>0</v>
      </c>
      <c r="AV63" s="52">
        <v>0</v>
      </c>
      <c r="BG63" s="40">
        <v>3</v>
      </c>
      <c r="BH63" s="40" t="s">
        <v>1416</v>
      </c>
      <c r="BI63" s="40">
        <v>0</v>
      </c>
    </row>
    <row r="64" spans="1:61" x14ac:dyDescent="0.25">
      <c r="A64" s="6">
        <v>63</v>
      </c>
      <c r="B64" s="6" t="s">
        <v>397</v>
      </c>
      <c r="C64" s="6" t="s">
        <v>397</v>
      </c>
      <c r="D64" s="6" t="s">
        <v>398</v>
      </c>
      <c r="E64" s="6" t="s">
        <v>399</v>
      </c>
      <c r="F64" s="17">
        <v>43579.129861111112</v>
      </c>
      <c r="G64" s="21">
        <v>-6</v>
      </c>
      <c r="H64" s="4">
        <f t="shared" si="3"/>
        <v>43578.879861111112</v>
      </c>
      <c r="I64" s="3">
        <v>500</v>
      </c>
      <c r="J64" s="3">
        <v>14000</v>
      </c>
      <c r="K64" s="36">
        <f t="shared" si="4"/>
        <v>1.1711281070745696E-2</v>
      </c>
      <c r="L64" s="3">
        <v>117</v>
      </c>
      <c r="M64" s="3">
        <v>17</v>
      </c>
      <c r="N64" s="3" t="s">
        <v>1334</v>
      </c>
      <c r="O64" s="3">
        <v>10.414586</v>
      </c>
      <c r="P64" s="3">
        <v>-84.390457999999995</v>
      </c>
      <c r="Q64" s="3">
        <v>15000</v>
      </c>
      <c r="R64" s="3">
        <f>Q64</f>
        <v>15000</v>
      </c>
      <c r="S64" s="3">
        <f>J64</f>
        <v>14000</v>
      </c>
      <c r="T64" s="3">
        <f>M64</f>
        <v>17</v>
      </c>
      <c r="U64" s="3">
        <f>Q64</f>
        <v>15000</v>
      </c>
      <c r="V64" s="3" t="s">
        <v>111</v>
      </c>
      <c r="W64" s="3" t="s">
        <v>216</v>
      </c>
      <c r="X64" s="3">
        <v>2400</v>
      </c>
      <c r="Y64" s="3">
        <v>60000</v>
      </c>
      <c r="Z64" s="3">
        <v>60000</v>
      </c>
      <c r="AA64" s="5">
        <v>1000</v>
      </c>
      <c r="AB64" s="5">
        <v>5</v>
      </c>
      <c r="AC64" s="5">
        <v>3</v>
      </c>
      <c r="AD64" s="5">
        <v>0</v>
      </c>
      <c r="AE64" s="5">
        <v>0</v>
      </c>
      <c r="AF64" s="5">
        <v>2000</v>
      </c>
      <c r="AG64" s="5">
        <v>-1.5</v>
      </c>
      <c r="AH64" s="5">
        <v>1.5</v>
      </c>
      <c r="AI64" s="44" t="s">
        <v>1320</v>
      </c>
      <c r="AJ64" s="44">
        <v>0</v>
      </c>
      <c r="AL64" s="23">
        <v>0</v>
      </c>
      <c r="AM64" s="23">
        <v>0</v>
      </c>
      <c r="AN64" s="23">
        <v>0</v>
      </c>
      <c r="AO64" s="23">
        <v>0</v>
      </c>
      <c r="AP64" s="23">
        <v>0</v>
      </c>
      <c r="AQ64" s="23">
        <v>0</v>
      </c>
      <c r="AR64" s="25">
        <v>0</v>
      </c>
      <c r="AS64" s="54">
        <v>0</v>
      </c>
      <c r="AT64" s="52">
        <v>0</v>
      </c>
      <c r="AU64" s="52">
        <v>0</v>
      </c>
      <c r="AV64" s="52">
        <v>0</v>
      </c>
      <c r="AX64" s="38">
        <v>129</v>
      </c>
      <c r="AY64" s="38">
        <v>129</v>
      </c>
      <c r="AZ64" s="38">
        <v>134</v>
      </c>
      <c r="BC64" s="38">
        <v>129</v>
      </c>
      <c r="BG64" s="40">
        <v>3</v>
      </c>
      <c r="BH64" s="40" t="s">
        <v>1422</v>
      </c>
      <c r="BI64" s="40">
        <v>0</v>
      </c>
    </row>
    <row r="65" spans="1:61" x14ac:dyDescent="0.25">
      <c r="A65" s="6">
        <v>63</v>
      </c>
      <c r="B65" s="6" t="s">
        <v>395</v>
      </c>
      <c r="C65" s="6" t="s">
        <v>395</v>
      </c>
      <c r="D65" s="6" t="s">
        <v>396</v>
      </c>
      <c r="E65" s="6" t="s">
        <v>394</v>
      </c>
      <c r="F65" s="17">
        <v>43835.127986111111</v>
      </c>
      <c r="G65" s="21">
        <v>1</v>
      </c>
      <c r="H65" s="4">
        <f t="shared" si="3"/>
        <v>43835.169652777775</v>
      </c>
      <c r="I65" s="3">
        <v>150</v>
      </c>
      <c r="J65" s="3">
        <v>18000</v>
      </c>
      <c r="K65" s="36">
        <f t="shared" si="4"/>
        <v>5.8078393881453149E-3</v>
      </c>
      <c r="L65" s="3">
        <v>93</v>
      </c>
      <c r="M65" s="3">
        <v>72.849999999999994</v>
      </c>
      <c r="N65" s="3" t="s">
        <v>1334</v>
      </c>
      <c r="O65" s="3">
        <v>51.702399999999997</v>
      </c>
      <c r="P65" s="3">
        <v>16.125699999999998</v>
      </c>
      <c r="Q65" s="3">
        <v>25435</v>
      </c>
      <c r="R65" s="3">
        <f>Q65+1500</f>
        <v>26935</v>
      </c>
      <c r="S65" s="3">
        <v>19000</v>
      </c>
      <c r="T65" s="3">
        <v>79</v>
      </c>
      <c r="U65" s="3">
        <v>22000</v>
      </c>
      <c r="V65" s="3" t="s">
        <v>144</v>
      </c>
      <c r="W65" s="3" t="s">
        <v>382</v>
      </c>
      <c r="X65" s="3">
        <v>0</v>
      </c>
      <c r="Y65" s="3">
        <v>85000</v>
      </c>
      <c r="Z65" s="3">
        <v>85000</v>
      </c>
      <c r="AA65" s="5">
        <v>1000</v>
      </c>
      <c r="AB65" s="5">
        <v>3</v>
      </c>
      <c r="AC65" s="5">
        <v>5</v>
      </c>
      <c r="AD65" s="5">
        <v>3.0000000000000001E-3</v>
      </c>
      <c r="AE65" s="5">
        <v>0.01</v>
      </c>
      <c r="AF65" s="5">
        <v>2000</v>
      </c>
      <c r="AG65" s="5">
        <v>-1.5</v>
      </c>
      <c r="AH65" s="5">
        <v>1.5</v>
      </c>
      <c r="AI65" s="44" t="s">
        <v>1320</v>
      </c>
      <c r="AJ65" s="44">
        <v>0</v>
      </c>
      <c r="AL65" s="23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5">
        <v>0</v>
      </c>
      <c r="AS65" s="54">
        <v>0</v>
      </c>
      <c r="AT65" s="52">
        <v>0</v>
      </c>
      <c r="AU65" s="52">
        <v>0</v>
      </c>
      <c r="AV65" s="52">
        <v>0</v>
      </c>
      <c r="BG65" s="40">
        <v>3</v>
      </c>
      <c r="BH65" s="40" t="s">
        <v>1416</v>
      </c>
      <c r="BI65" s="40">
        <v>0</v>
      </c>
    </row>
    <row r="66" spans="1:61" x14ac:dyDescent="0.25">
      <c r="A66" s="6">
        <v>63</v>
      </c>
      <c r="B66" s="6" t="s">
        <v>1164</v>
      </c>
      <c r="C66" s="6" t="s">
        <v>395</v>
      </c>
      <c r="D66" s="6" t="s">
        <v>396</v>
      </c>
      <c r="E66" s="6" t="s">
        <v>394</v>
      </c>
      <c r="F66" s="17">
        <v>43835.127986111111</v>
      </c>
      <c r="G66" s="21">
        <v>1</v>
      </c>
      <c r="H66" s="4">
        <f t="shared" si="3"/>
        <v>43835.169652777775</v>
      </c>
      <c r="I66" s="3">
        <v>150</v>
      </c>
      <c r="J66" s="3">
        <v>18000</v>
      </c>
      <c r="K66" s="36">
        <f t="shared" si="4"/>
        <v>5.8078393881453149E-3</v>
      </c>
      <c r="L66" s="3">
        <v>93</v>
      </c>
      <c r="M66" s="3">
        <v>72.849999999999994</v>
      </c>
      <c r="N66" s="3" t="s">
        <v>1334</v>
      </c>
      <c r="O66" s="3">
        <v>51.702399999999997</v>
      </c>
      <c r="P66" s="3">
        <v>16.125699999999998</v>
      </c>
      <c r="Q66" s="3">
        <v>25435</v>
      </c>
      <c r="R66" s="3">
        <f>Q66+1500</f>
        <v>26935</v>
      </c>
      <c r="S66" s="3">
        <v>19000</v>
      </c>
      <c r="T66" s="3">
        <v>79</v>
      </c>
      <c r="U66" s="3">
        <v>22000</v>
      </c>
      <c r="V66" s="3" t="s">
        <v>111</v>
      </c>
      <c r="W66" s="3" t="s">
        <v>382</v>
      </c>
      <c r="X66" s="3">
        <v>0</v>
      </c>
      <c r="Y66" s="3">
        <v>85000</v>
      </c>
      <c r="Z66" s="3">
        <v>85000</v>
      </c>
      <c r="AA66" s="5">
        <v>1000</v>
      </c>
      <c r="AB66" s="5">
        <v>3</v>
      </c>
      <c r="AC66" s="5">
        <v>5</v>
      </c>
      <c r="AD66" s="5">
        <v>3.0000000000000001E-3</v>
      </c>
      <c r="AE66" s="5">
        <v>0.01</v>
      </c>
      <c r="AF66" s="5">
        <v>2000</v>
      </c>
      <c r="AG66" s="5">
        <v>-1.5</v>
      </c>
      <c r="AH66" s="5">
        <v>1.5</v>
      </c>
      <c r="AI66" s="44" t="s">
        <v>1320</v>
      </c>
      <c r="AJ66" s="44">
        <v>0</v>
      </c>
      <c r="AL66" s="23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5">
        <v>0</v>
      </c>
      <c r="AS66" s="54">
        <v>0</v>
      </c>
      <c r="AT66" s="52">
        <v>0</v>
      </c>
      <c r="AU66" s="52">
        <v>0</v>
      </c>
      <c r="AV66" s="52">
        <v>0</v>
      </c>
      <c r="BG66" s="40">
        <v>3</v>
      </c>
      <c r="BH66" s="40" t="s">
        <v>1416</v>
      </c>
      <c r="BI66" s="40">
        <v>0</v>
      </c>
    </row>
    <row r="67" spans="1:61" x14ac:dyDescent="0.25">
      <c r="A67" s="6">
        <v>64</v>
      </c>
      <c r="B67" s="6" t="s">
        <v>1159</v>
      </c>
      <c r="C67" s="6" t="s">
        <v>1160</v>
      </c>
      <c r="D67" s="6" t="s">
        <v>1159</v>
      </c>
      <c r="E67" s="6" t="s">
        <v>418</v>
      </c>
      <c r="F67" s="17">
        <v>43857.235590277778</v>
      </c>
      <c r="G67" s="21">
        <v>1</v>
      </c>
      <c r="H67" s="4">
        <f t="shared" si="3"/>
        <v>43857.277256944442</v>
      </c>
      <c r="I67" s="3">
        <v>2884.7838256963983</v>
      </c>
      <c r="J67" s="3">
        <v>20860</v>
      </c>
      <c r="K67" s="3">
        <f t="shared" si="4"/>
        <v>0.15001000000000006</v>
      </c>
      <c r="L67" s="3">
        <v>244.441</v>
      </c>
      <c r="M67" s="3">
        <v>67.852999999999994</v>
      </c>
      <c r="N67" s="3" t="s">
        <v>1270</v>
      </c>
      <c r="O67" s="3">
        <v>30.4</v>
      </c>
      <c r="P67" s="3">
        <v>1.5</v>
      </c>
      <c r="Q67" s="3">
        <v>32500</v>
      </c>
      <c r="R67" s="3">
        <v>32650</v>
      </c>
      <c r="S67" s="3">
        <v>19797</v>
      </c>
      <c r="T67" s="3">
        <v>67.852999999999994</v>
      </c>
      <c r="U67" s="3">
        <v>15000</v>
      </c>
      <c r="V67" s="3" t="s">
        <v>144</v>
      </c>
      <c r="W67" s="3" t="s">
        <v>382</v>
      </c>
      <c r="X67" s="3">
        <v>0</v>
      </c>
      <c r="Y67" s="3">
        <v>85000</v>
      </c>
      <c r="Z67" s="3">
        <v>85000</v>
      </c>
      <c r="AA67" s="10">
        <v>1000</v>
      </c>
      <c r="AB67" s="10">
        <v>2</v>
      </c>
      <c r="AC67" s="10">
        <v>10</v>
      </c>
      <c r="AD67" s="10">
        <v>0.05</v>
      </c>
      <c r="AE67" s="10">
        <v>0.05</v>
      </c>
      <c r="AF67" s="10">
        <v>1000</v>
      </c>
      <c r="AG67" s="10">
        <v>-1.5</v>
      </c>
      <c r="AH67" s="10">
        <v>1.5</v>
      </c>
      <c r="AI67" s="44" t="s">
        <v>1320</v>
      </c>
      <c r="AJ67" s="44">
        <v>0</v>
      </c>
      <c r="AK67" s="44"/>
      <c r="AL67" s="22">
        <v>0</v>
      </c>
      <c r="AM67" s="22">
        <v>0</v>
      </c>
      <c r="AN67" s="23">
        <v>0</v>
      </c>
      <c r="AO67" s="23">
        <v>0</v>
      </c>
      <c r="AP67" s="23">
        <v>0</v>
      </c>
      <c r="AQ67" s="23">
        <v>0</v>
      </c>
      <c r="AR67" s="25">
        <v>0</v>
      </c>
      <c r="AS67" s="54">
        <v>0</v>
      </c>
      <c r="AT67" s="52">
        <v>0</v>
      </c>
      <c r="AU67" s="52">
        <v>0</v>
      </c>
      <c r="AV67" s="52">
        <v>0</v>
      </c>
      <c r="AW67" s="38">
        <v>0</v>
      </c>
      <c r="AX67" s="38">
        <v>0</v>
      </c>
      <c r="AY67" s="38">
        <v>0</v>
      </c>
      <c r="AZ67" s="38">
        <v>0</v>
      </c>
      <c r="BA67" s="38">
        <v>0</v>
      </c>
      <c r="BB67" s="38">
        <v>0</v>
      </c>
      <c r="BC67" s="38">
        <v>0</v>
      </c>
      <c r="BD67" s="38">
        <v>0</v>
      </c>
      <c r="BE67" s="38">
        <v>0</v>
      </c>
      <c r="BF67" s="38">
        <v>0</v>
      </c>
      <c r="BG67" s="41">
        <v>2</v>
      </c>
      <c r="BH67" s="40" t="s">
        <v>1416</v>
      </c>
      <c r="BI67" s="40">
        <v>0</v>
      </c>
    </row>
    <row r="68" spans="1:61" x14ac:dyDescent="0.25">
      <c r="A68" s="6">
        <v>65</v>
      </c>
      <c r="B68" s="6" t="s">
        <v>1161</v>
      </c>
      <c r="C68" s="6" t="s">
        <v>1161</v>
      </c>
      <c r="D68" s="6" t="s">
        <v>1162</v>
      </c>
      <c r="E68" s="6" t="s">
        <v>1025</v>
      </c>
      <c r="F68" s="17">
        <v>43858.963888888888</v>
      </c>
      <c r="G68" s="21">
        <v>1</v>
      </c>
      <c r="H68" s="4">
        <f t="shared" si="3"/>
        <v>43859.005555555552</v>
      </c>
      <c r="I68" s="3">
        <v>300</v>
      </c>
      <c r="J68" s="3">
        <v>16944</v>
      </c>
      <c r="K68" s="3">
        <f t="shared" si="4"/>
        <v>1.0292751051625238E-2</v>
      </c>
      <c r="L68" s="3">
        <v>5.09</v>
      </c>
      <c r="M68" s="3">
        <v>31</v>
      </c>
      <c r="N68" s="3" t="s">
        <v>1334</v>
      </c>
      <c r="O68" s="3">
        <v>37.256760999999997</v>
      </c>
      <c r="P68" s="3">
        <v>-5.5024499999999996</v>
      </c>
      <c r="Q68" s="3">
        <v>20000</v>
      </c>
      <c r="R68" s="3">
        <v>20500</v>
      </c>
      <c r="S68" s="3">
        <v>6</v>
      </c>
      <c r="T68" s="3">
        <v>31</v>
      </c>
      <c r="U68" s="3">
        <v>18000</v>
      </c>
      <c r="V68" s="3" t="s">
        <v>144</v>
      </c>
      <c r="W68" s="3" t="s">
        <v>382</v>
      </c>
      <c r="X68" s="3">
        <v>0</v>
      </c>
      <c r="Y68" s="3">
        <v>91000</v>
      </c>
      <c r="Z68" s="3">
        <v>91000</v>
      </c>
      <c r="AA68" s="5">
        <v>200</v>
      </c>
      <c r="AB68" s="5">
        <v>2</v>
      </c>
      <c r="AC68" s="5">
        <v>5</v>
      </c>
      <c r="AD68" s="5">
        <v>0.01</v>
      </c>
      <c r="AE68" s="5">
        <v>0.01</v>
      </c>
      <c r="AF68" s="5">
        <v>1000</v>
      </c>
      <c r="AG68" s="5">
        <v>-1.5</v>
      </c>
      <c r="AH68" s="5">
        <v>1.5</v>
      </c>
      <c r="AI68" s="44" t="s">
        <v>1320</v>
      </c>
      <c r="AJ68" s="44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5">
        <v>0</v>
      </c>
      <c r="AS68" s="54">
        <v>0</v>
      </c>
      <c r="AT68" s="52">
        <v>0</v>
      </c>
      <c r="AU68" s="52">
        <v>0</v>
      </c>
      <c r="AV68" s="52">
        <v>0</v>
      </c>
      <c r="AW68" s="38">
        <v>0</v>
      </c>
      <c r="AX68" s="38">
        <v>0</v>
      </c>
      <c r="AY68" s="38">
        <v>0</v>
      </c>
      <c r="AZ68" s="38">
        <v>0</v>
      </c>
      <c r="BA68" s="38">
        <v>0</v>
      </c>
      <c r="BB68" s="38">
        <v>0</v>
      </c>
      <c r="BC68" s="38">
        <v>0</v>
      </c>
      <c r="BD68" s="38">
        <v>0</v>
      </c>
      <c r="BE68" s="38">
        <v>0</v>
      </c>
      <c r="BF68" s="38">
        <v>0</v>
      </c>
      <c r="BH68" s="40" t="s">
        <v>1416</v>
      </c>
      <c r="BI68" s="40">
        <v>0</v>
      </c>
    </row>
    <row r="69" spans="1:61" x14ac:dyDescent="0.25">
      <c r="A69" s="6">
        <v>66</v>
      </c>
      <c r="B69" s="6" t="s">
        <v>1170</v>
      </c>
      <c r="C69" s="6" t="s">
        <v>1168</v>
      </c>
      <c r="D69" s="6" t="s">
        <v>1169</v>
      </c>
      <c r="E69" s="6" t="s">
        <v>710</v>
      </c>
      <c r="F69" s="17">
        <v>43871.991863425923</v>
      </c>
      <c r="G69" s="21">
        <v>5.5</v>
      </c>
      <c r="H69" s="4">
        <f t="shared" si="3"/>
        <v>43872.221030092587</v>
      </c>
      <c r="I69" s="3">
        <v>791</v>
      </c>
      <c r="J69" s="3">
        <v>31690</v>
      </c>
      <c r="K69" s="3">
        <f t="shared" si="4"/>
        <v>9.4929084022466539E-2</v>
      </c>
      <c r="L69" s="3">
        <v>78.099999999999994</v>
      </c>
      <c r="M69" s="3">
        <v>50.03</v>
      </c>
      <c r="N69" s="3" t="s">
        <v>1270</v>
      </c>
      <c r="O69" s="3">
        <v>28.192</v>
      </c>
      <c r="P69" s="3">
        <v>76.8005</v>
      </c>
      <c r="Q69" s="3">
        <v>39102</v>
      </c>
      <c r="R69" s="3">
        <v>39102</v>
      </c>
      <c r="S69" s="3">
        <v>31690</v>
      </c>
      <c r="T69" s="3">
        <v>50</v>
      </c>
      <c r="U69" s="3">
        <v>30000</v>
      </c>
      <c r="V69" s="3" t="s">
        <v>144</v>
      </c>
      <c r="W69" s="3" t="s">
        <v>382</v>
      </c>
      <c r="X69" s="3">
        <v>0</v>
      </c>
      <c r="Y69" s="3">
        <v>50000</v>
      </c>
      <c r="Z69" s="3">
        <v>50000</v>
      </c>
      <c r="AA69" s="5">
        <v>1000</v>
      </c>
      <c r="AB69" s="5">
        <v>4</v>
      </c>
      <c r="AC69" s="5">
        <v>4</v>
      </c>
      <c r="AD69" s="5">
        <v>3.5000000000000003E-2</v>
      </c>
      <c r="AE69" s="5">
        <v>3.5000000000000003E-2</v>
      </c>
      <c r="AF69" s="5">
        <v>1000</v>
      </c>
      <c r="AG69" s="5">
        <v>-1.5</v>
      </c>
      <c r="AH69" s="5">
        <v>1.5</v>
      </c>
      <c r="AI69" s="44" t="s">
        <v>1320</v>
      </c>
      <c r="AJ69" s="44">
        <v>0</v>
      </c>
      <c r="AL69" s="23">
        <v>0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5">
        <v>0</v>
      </c>
      <c r="AS69" s="54">
        <v>0</v>
      </c>
      <c r="AT69" s="52">
        <v>0</v>
      </c>
      <c r="AU69" s="52">
        <v>0</v>
      </c>
      <c r="AV69" s="52">
        <v>0</v>
      </c>
      <c r="AW69" s="38">
        <v>0</v>
      </c>
      <c r="AX69" s="38">
        <v>0</v>
      </c>
      <c r="AY69" s="38">
        <v>0</v>
      </c>
      <c r="AZ69" s="38">
        <v>0</v>
      </c>
      <c r="BA69" s="38">
        <v>0</v>
      </c>
      <c r="BB69" s="38">
        <v>0</v>
      </c>
      <c r="BC69" s="38">
        <v>0</v>
      </c>
      <c r="BD69" s="38">
        <v>0</v>
      </c>
      <c r="BE69" s="38">
        <v>0</v>
      </c>
      <c r="BF69" s="38">
        <v>0</v>
      </c>
      <c r="BG69" s="40">
        <v>0</v>
      </c>
      <c r="BH69" s="40" t="s">
        <v>1416</v>
      </c>
      <c r="BI69" s="40">
        <v>0</v>
      </c>
    </row>
    <row r="70" spans="1:61" x14ac:dyDescent="0.25">
      <c r="A70" s="6">
        <v>67</v>
      </c>
      <c r="B70" s="6" t="s">
        <v>1171</v>
      </c>
      <c r="C70" s="6" t="s">
        <v>1171</v>
      </c>
      <c r="D70" s="6" t="s">
        <v>648</v>
      </c>
      <c r="E70" s="6" t="s">
        <v>4</v>
      </c>
      <c r="F70" s="17">
        <v>43868.986851851849</v>
      </c>
      <c r="G70" s="21">
        <v>-5</v>
      </c>
      <c r="H70" s="4">
        <f t="shared" si="3"/>
        <v>43868.778518518513</v>
      </c>
      <c r="I70" s="3">
        <v>150</v>
      </c>
      <c r="J70" s="3">
        <v>19080</v>
      </c>
      <c r="K70" s="3">
        <f t="shared" si="4"/>
        <v>6.5256883365200757E-3</v>
      </c>
      <c r="L70" s="3">
        <v>118.3</v>
      </c>
      <c r="M70" s="3">
        <v>33.299999999999997</v>
      </c>
      <c r="N70" s="3" t="s">
        <v>1334</v>
      </c>
      <c r="O70" s="3">
        <v>33.475124000000001</v>
      </c>
      <c r="P70" s="3">
        <v>-85.222961999999995</v>
      </c>
      <c r="Q70" s="3">
        <v>31040</v>
      </c>
      <c r="R70" s="3">
        <v>31040</v>
      </c>
      <c r="S70" s="3">
        <v>19080</v>
      </c>
      <c r="T70" s="3">
        <v>33.299999999999997</v>
      </c>
      <c r="U70" s="3">
        <v>25000</v>
      </c>
      <c r="V70" s="3" t="s">
        <v>144</v>
      </c>
      <c r="W70" s="3" t="s">
        <v>382</v>
      </c>
      <c r="X70" s="3">
        <v>0</v>
      </c>
      <c r="Y70" s="3">
        <v>85000</v>
      </c>
      <c r="Z70" s="3">
        <v>85000</v>
      </c>
      <c r="AA70" s="5">
        <v>3000</v>
      </c>
      <c r="AB70" s="5">
        <v>10</v>
      </c>
      <c r="AC70" s="5">
        <v>10</v>
      </c>
      <c r="AD70" s="5">
        <v>0</v>
      </c>
      <c r="AE70" s="5">
        <v>0</v>
      </c>
      <c r="AF70" s="5">
        <v>5000</v>
      </c>
      <c r="AG70" s="5">
        <v>-1.5</v>
      </c>
      <c r="AH70" s="5">
        <v>1.5</v>
      </c>
      <c r="AI70" s="44" t="s">
        <v>1320</v>
      </c>
      <c r="AJ70" s="44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0</v>
      </c>
      <c r="AR70" s="25">
        <v>0</v>
      </c>
      <c r="AS70" s="54">
        <v>0</v>
      </c>
      <c r="AT70" s="52">
        <v>0</v>
      </c>
      <c r="AU70" s="52">
        <v>0</v>
      </c>
      <c r="AV70" s="52">
        <v>0</v>
      </c>
      <c r="BG70" s="40">
        <v>1</v>
      </c>
      <c r="BH70" s="40" t="s">
        <v>1416</v>
      </c>
      <c r="BI70" s="40">
        <v>0</v>
      </c>
    </row>
    <row r="71" spans="1:61" x14ac:dyDescent="0.25">
      <c r="A71" s="6">
        <v>68</v>
      </c>
      <c r="B71" s="6" t="s">
        <v>1225</v>
      </c>
      <c r="C71" s="6" t="s">
        <v>1226</v>
      </c>
      <c r="D71" s="6" t="s">
        <v>1227</v>
      </c>
      <c r="E71" s="6" t="s">
        <v>4</v>
      </c>
      <c r="F71" s="17">
        <v>43877.59542824074</v>
      </c>
      <c r="G71" s="21">
        <v>-7</v>
      </c>
      <c r="H71" s="4">
        <f t="shared" si="3"/>
        <v>43877.303761574076</v>
      </c>
      <c r="I71" s="3">
        <v>150</v>
      </c>
      <c r="J71" s="3">
        <v>23000</v>
      </c>
      <c r="K71" s="3">
        <f t="shared" si="4"/>
        <v>9.48255258126195E-3</v>
      </c>
      <c r="L71" s="3">
        <v>252.25</v>
      </c>
      <c r="M71" s="3">
        <v>69</v>
      </c>
      <c r="N71" s="3" t="s">
        <v>1334</v>
      </c>
      <c r="O71" s="3">
        <v>34.81814</v>
      </c>
      <c r="P71" s="3">
        <v>-112.53377999999999</v>
      </c>
      <c r="Q71" s="3">
        <v>28900</v>
      </c>
      <c r="R71" s="3">
        <v>29000</v>
      </c>
      <c r="S71" s="3">
        <v>22000</v>
      </c>
      <c r="T71" s="3">
        <v>53.4</v>
      </c>
      <c r="U71" s="3">
        <v>19000</v>
      </c>
      <c r="V71" s="3" t="s">
        <v>144</v>
      </c>
      <c r="W71" s="3" t="s">
        <v>382</v>
      </c>
      <c r="X71" s="3">
        <v>0</v>
      </c>
      <c r="Y71" s="3">
        <v>60000</v>
      </c>
      <c r="Z71" s="3">
        <v>60000</v>
      </c>
      <c r="AA71" s="5">
        <v>5000</v>
      </c>
      <c r="AB71" s="5">
        <v>1</v>
      </c>
      <c r="AC71" s="5">
        <v>7</v>
      </c>
      <c r="AD71" s="5">
        <v>5.0000000000000001E-3</v>
      </c>
      <c r="AE71" s="5">
        <v>5.0000000000000001E-3</v>
      </c>
      <c r="AF71" s="5">
        <v>200</v>
      </c>
      <c r="AG71" s="5">
        <v>-1.5</v>
      </c>
      <c r="AH71" s="5">
        <v>1.5</v>
      </c>
      <c r="AI71" s="44" t="s">
        <v>1320</v>
      </c>
      <c r="AJ71" s="44">
        <v>0</v>
      </c>
      <c r="AL71" s="23">
        <v>0</v>
      </c>
      <c r="AM71" s="23">
        <v>0</v>
      </c>
      <c r="AN71" s="23">
        <v>0</v>
      </c>
      <c r="AO71" s="23">
        <v>0</v>
      </c>
      <c r="AP71" s="23">
        <v>0</v>
      </c>
      <c r="AQ71" s="23">
        <v>0</v>
      </c>
      <c r="AR71" s="25">
        <v>0</v>
      </c>
      <c r="AS71" s="54">
        <v>0</v>
      </c>
      <c r="AT71" s="52">
        <v>0</v>
      </c>
      <c r="AU71" s="52">
        <v>0</v>
      </c>
      <c r="AV71" s="52">
        <v>0</v>
      </c>
      <c r="BH71" s="40" t="s">
        <v>1416</v>
      </c>
      <c r="BI71" s="40">
        <v>0</v>
      </c>
    </row>
    <row r="72" spans="1:61" x14ac:dyDescent="0.25">
      <c r="A72" s="6">
        <v>68</v>
      </c>
      <c r="B72" s="6" t="s">
        <v>1229</v>
      </c>
      <c r="C72" s="6" t="s">
        <v>1226</v>
      </c>
      <c r="D72" s="6" t="s">
        <v>1227</v>
      </c>
      <c r="E72" s="6" t="s">
        <v>4</v>
      </c>
      <c r="F72" s="17">
        <v>43877.59542824074</v>
      </c>
      <c r="G72" s="21">
        <v>-7</v>
      </c>
      <c r="H72" s="4">
        <v>43877.303761574076</v>
      </c>
      <c r="I72" s="3">
        <v>0.1</v>
      </c>
      <c r="J72" s="3">
        <v>50</v>
      </c>
      <c r="K72" s="3">
        <f t="shared" si="4"/>
        <v>2.9875717017208414E-11</v>
      </c>
      <c r="L72" s="3">
        <v>282.5</v>
      </c>
      <c r="M72" s="3">
        <v>0</v>
      </c>
      <c r="N72" s="3" t="s">
        <v>1334</v>
      </c>
      <c r="O72" s="3">
        <v>34.772824</v>
      </c>
      <c r="P72" s="3">
        <v>-112.717595</v>
      </c>
      <c r="Q72" s="3">
        <v>11527</v>
      </c>
      <c r="R72" s="3">
        <v>11527</v>
      </c>
      <c r="S72" s="3">
        <v>80</v>
      </c>
      <c r="T72" s="3">
        <v>2</v>
      </c>
      <c r="U72" s="3">
        <v>11527</v>
      </c>
      <c r="V72" s="3" t="s">
        <v>144</v>
      </c>
      <c r="W72" s="3" t="s">
        <v>382</v>
      </c>
      <c r="X72" s="3">
        <v>0</v>
      </c>
      <c r="Y72" s="3">
        <v>11527</v>
      </c>
      <c r="Z72" s="3">
        <v>11527</v>
      </c>
      <c r="AA72" s="5">
        <v>30</v>
      </c>
      <c r="AB72" s="5">
        <v>3</v>
      </c>
      <c r="AC72" s="5">
        <v>1</v>
      </c>
      <c r="AD72" s="5">
        <v>0</v>
      </c>
      <c r="AE72" s="5">
        <v>0</v>
      </c>
      <c r="AF72" s="5">
        <v>1150</v>
      </c>
      <c r="AG72" s="5">
        <v>-1.5</v>
      </c>
      <c r="AH72" s="5">
        <v>1.5</v>
      </c>
      <c r="AI72" s="44" t="s">
        <v>1320</v>
      </c>
      <c r="AJ72" s="44">
        <v>0</v>
      </c>
      <c r="AL72" s="23">
        <v>0</v>
      </c>
      <c r="AM72" s="23">
        <v>0</v>
      </c>
      <c r="AN72" s="23">
        <v>0</v>
      </c>
      <c r="AO72" s="23">
        <v>0</v>
      </c>
      <c r="AP72" s="23">
        <v>0</v>
      </c>
      <c r="AQ72" s="23">
        <v>0</v>
      </c>
      <c r="AR72" s="25">
        <v>0</v>
      </c>
      <c r="AS72" s="54">
        <v>0</v>
      </c>
      <c r="AT72" s="52">
        <v>0</v>
      </c>
      <c r="AU72" s="52">
        <v>0</v>
      </c>
      <c r="AV72" s="52">
        <v>0</v>
      </c>
      <c r="BH72" s="40" t="s">
        <v>1416</v>
      </c>
      <c r="BI72" s="40">
        <v>0</v>
      </c>
    </row>
    <row r="73" spans="1:61" x14ac:dyDescent="0.25">
      <c r="A73" s="6">
        <v>68</v>
      </c>
      <c r="B73" s="6" t="s">
        <v>1230</v>
      </c>
      <c r="C73" s="6" t="s">
        <v>1226</v>
      </c>
      <c r="D73" s="6" t="s">
        <v>1227</v>
      </c>
      <c r="E73" s="6" t="s">
        <v>4</v>
      </c>
      <c r="F73" s="17">
        <v>43877.59542824074</v>
      </c>
      <c r="G73" s="21">
        <v>-7</v>
      </c>
      <c r="H73" s="4">
        <v>43877.303761574076</v>
      </c>
      <c r="I73" s="3">
        <v>0.1</v>
      </c>
      <c r="J73" s="3">
        <v>50</v>
      </c>
      <c r="K73" s="3">
        <v>4.5889101338432122E-9</v>
      </c>
      <c r="L73" s="3">
        <v>282.5</v>
      </c>
      <c r="M73" s="3">
        <v>0</v>
      </c>
      <c r="N73" s="3" t="s">
        <v>1334</v>
      </c>
      <c r="O73" s="3">
        <v>34.784137999999999</v>
      </c>
      <c r="P73" s="3">
        <v>-112.640496</v>
      </c>
      <c r="Q73" s="3">
        <v>13723</v>
      </c>
      <c r="R73" s="3">
        <v>13723</v>
      </c>
      <c r="S73" s="3">
        <v>50</v>
      </c>
      <c r="T73" s="3">
        <v>2</v>
      </c>
      <c r="U73" s="3">
        <v>13723</v>
      </c>
      <c r="V73" s="3" t="s">
        <v>144</v>
      </c>
      <c r="W73" s="3" t="s">
        <v>382</v>
      </c>
      <c r="X73" s="3">
        <v>0</v>
      </c>
      <c r="Y73" s="3">
        <v>13723</v>
      </c>
      <c r="Z73" s="3">
        <v>13723</v>
      </c>
      <c r="AA73" s="5">
        <v>30</v>
      </c>
      <c r="AB73" s="5">
        <v>3</v>
      </c>
      <c r="AC73" s="5">
        <v>1</v>
      </c>
      <c r="AD73" s="5">
        <v>0</v>
      </c>
      <c r="AE73" s="5">
        <v>0</v>
      </c>
      <c r="AF73" s="5">
        <v>1150</v>
      </c>
      <c r="AG73" s="5">
        <v>-1.5</v>
      </c>
      <c r="AH73" s="5">
        <v>1.5</v>
      </c>
      <c r="AI73" s="44" t="s">
        <v>1320</v>
      </c>
      <c r="AJ73" s="44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5">
        <v>0</v>
      </c>
      <c r="AS73" s="54">
        <v>0</v>
      </c>
      <c r="AT73" s="52">
        <v>0</v>
      </c>
      <c r="AU73" s="52">
        <v>0</v>
      </c>
      <c r="AV73" s="52">
        <v>0</v>
      </c>
      <c r="BH73" s="40" t="s">
        <v>1416</v>
      </c>
      <c r="BI73" s="40">
        <v>0</v>
      </c>
    </row>
    <row r="74" spans="1:61" x14ac:dyDescent="0.25">
      <c r="A74" s="6">
        <v>71</v>
      </c>
      <c r="B74" s="6" t="s">
        <v>1260</v>
      </c>
      <c r="C74" s="6" t="s">
        <v>1260</v>
      </c>
      <c r="D74" s="6" t="s">
        <v>1261</v>
      </c>
      <c r="E74" s="6" t="s">
        <v>1262</v>
      </c>
      <c r="F74" s="17">
        <v>43882.3125</v>
      </c>
      <c r="G74" s="21">
        <v>-4</v>
      </c>
      <c r="H74" s="4">
        <f>F74+G74/24</f>
        <v>43882.145833333336</v>
      </c>
      <c r="I74" s="3">
        <v>500</v>
      </c>
      <c r="J74" s="3">
        <v>35000</v>
      </c>
      <c r="K74" s="3">
        <f>I74*J74^2/2/4.184/10^12</f>
        <v>7.3195506692160614E-2</v>
      </c>
      <c r="L74" s="3">
        <v>192</v>
      </c>
      <c r="M74" s="3">
        <v>13.5</v>
      </c>
      <c r="N74" s="3" t="s">
        <v>1334</v>
      </c>
      <c r="O74" s="3">
        <v>18.423999999999999</v>
      </c>
      <c r="P74" s="3">
        <v>-69</v>
      </c>
      <c r="Q74" s="3">
        <v>22500</v>
      </c>
      <c r="R74" s="3">
        <v>22500</v>
      </c>
      <c r="S74" s="3">
        <v>22500</v>
      </c>
      <c r="T74" s="3">
        <v>13.5</v>
      </c>
      <c r="U74" s="3">
        <v>15000</v>
      </c>
      <c r="V74" s="3" t="s">
        <v>144</v>
      </c>
      <c r="W74" s="3" t="s">
        <v>382</v>
      </c>
      <c r="X74" s="3">
        <v>0</v>
      </c>
      <c r="Y74" s="3">
        <v>50000</v>
      </c>
      <c r="Z74" s="3">
        <v>50000</v>
      </c>
      <c r="AA74" s="5">
        <v>5000</v>
      </c>
      <c r="AB74" s="5">
        <v>5</v>
      </c>
      <c r="AC74" s="5">
        <v>4</v>
      </c>
      <c r="AD74" s="5">
        <v>2E-3</v>
      </c>
      <c r="AE74" s="5">
        <v>2E-3</v>
      </c>
      <c r="AF74" s="5">
        <v>5000</v>
      </c>
      <c r="AG74" s="5">
        <v>-1.5</v>
      </c>
      <c r="AH74" s="5">
        <v>1.5</v>
      </c>
      <c r="AI74" s="44" t="s">
        <v>1320</v>
      </c>
      <c r="AJ74" s="44">
        <v>0</v>
      </c>
      <c r="AL74" s="23">
        <v>0</v>
      </c>
      <c r="AM74" s="23">
        <v>0</v>
      </c>
      <c r="AN74" s="23">
        <v>0</v>
      </c>
      <c r="AO74" s="23">
        <v>0</v>
      </c>
      <c r="AP74" s="23">
        <v>0</v>
      </c>
      <c r="AQ74" s="23">
        <v>0</v>
      </c>
      <c r="AR74" s="25">
        <v>0</v>
      </c>
      <c r="AS74" s="54">
        <v>0</v>
      </c>
      <c r="AT74" s="52">
        <v>0</v>
      </c>
      <c r="AU74" s="52">
        <v>0</v>
      </c>
      <c r="AV74" s="52">
        <v>0</v>
      </c>
      <c r="BH74" s="40" t="s">
        <v>1416</v>
      </c>
      <c r="BI74" s="40">
        <v>0</v>
      </c>
    </row>
    <row r="75" spans="1:61" x14ac:dyDescent="0.25">
      <c r="A75" s="6">
        <v>72</v>
      </c>
      <c r="B75" s="6" t="s">
        <v>1264</v>
      </c>
      <c r="C75" s="6" t="s">
        <v>1264</v>
      </c>
      <c r="D75" s="6" t="s">
        <v>1263</v>
      </c>
      <c r="E75" s="6" t="s">
        <v>1007</v>
      </c>
      <c r="F75" s="17">
        <v>43889.396226851852</v>
      </c>
      <c r="G75" s="21">
        <v>1</v>
      </c>
      <c r="H75" s="4">
        <f>F75+G75/24</f>
        <v>43889.437893518516</v>
      </c>
      <c r="I75" s="3">
        <v>6141</v>
      </c>
      <c r="J75" s="3">
        <v>21530</v>
      </c>
      <c r="K75" s="3">
        <f>I75*J75^2/2/4.184/10^12</f>
        <v>0.34017742195267686</v>
      </c>
      <c r="L75" s="3">
        <v>339</v>
      </c>
      <c r="M75" s="3">
        <v>41.86</v>
      </c>
      <c r="N75" s="3" t="s">
        <v>1334</v>
      </c>
      <c r="O75" s="3">
        <v>45.821150000000003</v>
      </c>
      <c r="P75" s="3">
        <v>15.09</v>
      </c>
      <c r="Q75" s="3">
        <v>24350</v>
      </c>
      <c r="R75" s="3">
        <v>24350</v>
      </c>
      <c r="S75" s="3">
        <v>21530</v>
      </c>
      <c r="T75" s="3">
        <v>42.465000000000003</v>
      </c>
      <c r="U75" s="3">
        <v>24000</v>
      </c>
      <c r="V75" s="3" t="s">
        <v>81</v>
      </c>
      <c r="W75" s="3" t="s">
        <v>382</v>
      </c>
      <c r="X75" s="3">
        <v>0</v>
      </c>
      <c r="Y75" s="3">
        <v>50000</v>
      </c>
      <c r="Z75" s="3">
        <v>50000</v>
      </c>
      <c r="AA75" s="5">
        <v>2000</v>
      </c>
      <c r="AB75" s="5">
        <v>1</v>
      </c>
      <c r="AC75" s="5">
        <v>0.04</v>
      </c>
      <c r="AD75" s="5">
        <v>3.949999999999676E-3</v>
      </c>
      <c r="AE75" s="5">
        <f>15.09-15.083</f>
        <v>6.9999999999996732E-3</v>
      </c>
      <c r="AF75" s="5">
        <v>2000</v>
      </c>
      <c r="AG75" s="5">
        <v>-1.5</v>
      </c>
      <c r="AH75" s="5">
        <v>1.5</v>
      </c>
      <c r="AI75" s="44" t="s">
        <v>1320</v>
      </c>
      <c r="AJ75" s="44">
        <v>0</v>
      </c>
      <c r="AL75" s="23">
        <v>0</v>
      </c>
      <c r="AM75" s="23">
        <v>0</v>
      </c>
      <c r="AN75" s="23">
        <v>0</v>
      </c>
      <c r="AO75" s="23">
        <v>0</v>
      </c>
      <c r="AP75" s="23">
        <v>0</v>
      </c>
      <c r="AQ75" s="23">
        <v>0</v>
      </c>
      <c r="AR75" s="25">
        <v>0</v>
      </c>
      <c r="AS75" s="54">
        <v>0</v>
      </c>
      <c r="AT75" s="52">
        <v>0</v>
      </c>
      <c r="AU75" s="52">
        <v>0</v>
      </c>
      <c r="AV75" s="52">
        <v>0</v>
      </c>
      <c r="BH75" s="40" t="s">
        <v>1416</v>
      </c>
      <c r="BI75" s="40">
        <v>0</v>
      </c>
    </row>
    <row r="76" spans="1:61" x14ac:dyDescent="0.25">
      <c r="A76" s="6">
        <v>72</v>
      </c>
      <c r="B76" s="6" t="s">
        <v>1310</v>
      </c>
      <c r="C76" s="6" t="s">
        <v>1264</v>
      </c>
      <c r="D76" s="6" t="s">
        <v>1263</v>
      </c>
      <c r="E76" s="6" t="s">
        <v>1007</v>
      </c>
      <c r="F76" s="17">
        <v>43889.396226851852</v>
      </c>
      <c r="G76" s="21">
        <v>1</v>
      </c>
      <c r="H76" s="4">
        <f>F76+G76/24</f>
        <v>43889.437893518516</v>
      </c>
      <c r="I76" s="3">
        <v>6141</v>
      </c>
      <c r="J76" s="3">
        <v>21530</v>
      </c>
      <c r="K76" s="3">
        <f>I76*J76^2/2/4.184/10^12</f>
        <v>0.34017742195267686</v>
      </c>
      <c r="L76" s="3">
        <v>335</v>
      </c>
      <c r="M76" s="3">
        <v>41.86</v>
      </c>
      <c r="N76" s="3" t="s">
        <v>1334</v>
      </c>
      <c r="O76" s="3">
        <v>45.821150000000003</v>
      </c>
      <c r="P76" s="3">
        <v>15.09</v>
      </c>
      <c r="Q76" s="3">
        <v>24350</v>
      </c>
      <c r="R76" s="3">
        <v>24350</v>
      </c>
      <c r="S76" s="3">
        <v>21530</v>
      </c>
      <c r="T76" s="3">
        <v>42.465000000000003</v>
      </c>
      <c r="U76" s="3">
        <v>24000</v>
      </c>
      <c r="V76" s="3" t="s">
        <v>81</v>
      </c>
      <c r="W76" s="3" t="s">
        <v>382</v>
      </c>
      <c r="X76" s="3">
        <v>0</v>
      </c>
      <c r="Y76" s="3">
        <v>50000</v>
      </c>
      <c r="Z76" s="3">
        <v>50000</v>
      </c>
      <c r="AA76" s="5">
        <v>2000</v>
      </c>
      <c r="AB76" s="5">
        <v>1</v>
      </c>
      <c r="AC76" s="5">
        <v>0.04</v>
      </c>
      <c r="AD76" s="5">
        <v>3.949999999999676E-3</v>
      </c>
      <c r="AE76" s="5">
        <f>15.09-15.083</f>
        <v>6.9999999999996732E-3</v>
      </c>
      <c r="AF76" s="5">
        <v>2000</v>
      </c>
      <c r="AG76" s="5">
        <v>-1.5</v>
      </c>
      <c r="AH76" s="5">
        <v>1.5</v>
      </c>
      <c r="AI76" s="44" t="s">
        <v>1320</v>
      </c>
      <c r="AJ76" s="44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5">
        <v>0</v>
      </c>
      <c r="AS76" s="54">
        <v>0</v>
      </c>
      <c r="AT76" s="52">
        <v>0</v>
      </c>
      <c r="AU76" s="52">
        <v>0</v>
      </c>
      <c r="AV76" s="52">
        <v>0</v>
      </c>
      <c r="BH76" s="40" t="s">
        <v>1416</v>
      </c>
      <c r="BI76" s="40">
        <v>0</v>
      </c>
    </row>
    <row r="77" spans="1:61" x14ac:dyDescent="0.25">
      <c r="A77" s="6">
        <v>73</v>
      </c>
      <c r="B77" s="6" t="s">
        <v>1319</v>
      </c>
      <c r="C77" s="6" t="s">
        <v>1319</v>
      </c>
      <c r="D77" s="6" t="s">
        <v>1321</v>
      </c>
      <c r="E77" s="6" t="s">
        <v>450</v>
      </c>
      <c r="F77" s="17">
        <v>43927.564930555556</v>
      </c>
      <c r="G77" s="21">
        <v>2</v>
      </c>
      <c r="H77" s="4">
        <f>F77+G77/24</f>
        <v>43927.648263888892</v>
      </c>
      <c r="I77" s="3">
        <v>1500</v>
      </c>
      <c r="J77" s="3">
        <v>17000</v>
      </c>
      <c r="K77" s="3">
        <f>I77*J77^2/2/4.184/10^12</f>
        <v>5.1804493307839386E-2</v>
      </c>
      <c r="L77" s="3">
        <v>48</v>
      </c>
      <c r="M77" s="3">
        <v>55</v>
      </c>
      <c r="N77" s="3" t="s">
        <v>1334</v>
      </c>
      <c r="O77" s="3">
        <v>47.548974000000001</v>
      </c>
      <c r="P77" s="3">
        <v>12.920945</v>
      </c>
      <c r="Q77" s="3">
        <v>33000</v>
      </c>
      <c r="R77" s="3">
        <v>33000</v>
      </c>
      <c r="S77" s="3">
        <f>J77</f>
        <v>17000</v>
      </c>
      <c r="T77" s="3">
        <f>M77</f>
        <v>55</v>
      </c>
      <c r="U77" s="3">
        <v>32000</v>
      </c>
      <c r="V77" s="3" t="s">
        <v>144</v>
      </c>
      <c r="W77" s="3" t="s">
        <v>382</v>
      </c>
      <c r="X77" s="3">
        <v>0</v>
      </c>
      <c r="Y77" s="3">
        <v>60000</v>
      </c>
      <c r="Z77" s="3">
        <v>60000</v>
      </c>
      <c r="AA77" s="5">
        <v>2000</v>
      </c>
      <c r="AB77" s="5">
        <v>2.5</v>
      </c>
      <c r="AC77" s="5">
        <v>10</v>
      </c>
      <c r="AD77" s="5">
        <v>0.02</v>
      </c>
      <c r="AE77" s="5">
        <v>4.4999999999999998E-2</v>
      </c>
      <c r="AF77" s="5">
        <v>1000</v>
      </c>
      <c r="AG77" s="5">
        <v>-1.5</v>
      </c>
      <c r="AH77" s="5">
        <v>1.5</v>
      </c>
      <c r="AI77" s="44" t="s">
        <v>1320</v>
      </c>
      <c r="AJ77" s="44">
        <v>0</v>
      </c>
      <c r="AL77" s="23">
        <v>0</v>
      </c>
      <c r="AM77" s="23">
        <v>0</v>
      </c>
      <c r="AN77" s="23">
        <v>0</v>
      </c>
      <c r="AO77" s="23">
        <v>0</v>
      </c>
      <c r="AP77" s="23">
        <v>0</v>
      </c>
      <c r="AQ77" s="23">
        <v>0</v>
      </c>
      <c r="AR77" s="25">
        <v>0</v>
      </c>
      <c r="AS77" s="54">
        <v>0</v>
      </c>
      <c r="AT77" s="52">
        <v>0</v>
      </c>
      <c r="AU77" s="52">
        <v>0</v>
      </c>
      <c r="AV77" s="52">
        <v>0</v>
      </c>
      <c r="BG77" s="40">
        <v>3</v>
      </c>
      <c r="BH77" s="40" t="s">
        <v>1416</v>
      </c>
      <c r="BI77" s="40">
        <v>0</v>
      </c>
    </row>
    <row r="78" spans="1:61" x14ac:dyDescent="0.25">
      <c r="A78" s="6">
        <v>74</v>
      </c>
      <c r="B78" s="6" t="s">
        <v>1322</v>
      </c>
      <c r="C78" s="6" t="s">
        <v>1322</v>
      </c>
      <c r="D78" s="6" t="s">
        <v>1323</v>
      </c>
      <c r="E78" s="6" t="s">
        <v>4</v>
      </c>
      <c r="F78" s="17">
        <v>14152.625</v>
      </c>
      <c r="G78" s="21">
        <v>-6</v>
      </c>
      <c r="H78" s="4">
        <v>14152.375</v>
      </c>
      <c r="I78" s="3">
        <v>25</v>
      </c>
      <c r="J78" s="3">
        <v>20000</v>
      </c>
      <c r="K78" s="3">
        <f>I78*J78^2/2/4.184/10^12</f>
        <v>1.1950286806883363E-3</v>
      </c>
      <c r="L78" s="3">
        <v>244.77</v>
      </c>
      <c r="M78" s="3">
        <v>35</v>
      </c>
      <c r="N78" s="3" t="s">
        <v>124</v>
      </c>
      <c r="O78" s="3">
        <v>39.142685999999998</v>
      </c>
      <c r="P78" s="3">
        <v>-89.669224999999997</v>
      </c>
      <c r="Q78" s="3">
        <v>210</v>
      </c>
      <c r="R78" s="3">
        <v>210</v>
      </c>
      <c r="S78" s="3">
        <v>225</v>
      </c>
      <c r="T78" s="3">
        <v>12.4833</v>
      </c>
      <c r="U78" s="3">
        <v>20000</v>
      </c>
      <c r="V78" s="3" t="s">
        <v>79</v>
      </c>
      <c r="W78" s="3" t="s">
        <v>242</v>
      </c>
      <c r="X78" s="3">
        <v>3690</v>
      </c>
      <c r="Y78" s="3">
        <v>60000</v>
      </c>
      <c r="Z78" s="3">
        <v>60000</v>
      </c>
      <c r="AA78" s="5">
        <v>10000</v>
      </c>
      <c r="AB78" s="5">
        <v>1</v>
      </c>
      <c r="AC78" s="5">
        <v>20</v>
      </c>
      <c r="AD78" s="5">
        <v>0</v>
      </c>
      <c r="AE78" s="5">
        <v>0</v>
      </c>
      <c r="AF78" s="5">
        <v>0</v>
      </c>
      <c r="AG78" s="5">
        <v>-1.5</v>
      </c>
      <c r="AH78" s="5">
        <v>1.5</v>
      </c>
      <c r="AI78" s="45" t="s">
        <v>1324</v>
      </c>
      <c r="AJ78" s="45">
        <v>15</v>
      </c>
      <c r="AM78" s="23">
        <v>1</v>
      </c>
      <c r="AN78" s="23">
        <v>1.7709999999999999</v>
      </c>
      <c r="AO78" s="23">
        <v>1771</v>
      </c>
      <c r="AP78" s="23">
        <v>1771</v>
      </c>
      <c r="AQ78" s="25">
        <v>1771</v>
      </c>
      <c r="AR78" s="25">
        <v>0</v>
      </c>
      <c r="AS78" s="54">
        <v>0</v>
      </c>
      <c r="AT78" s="52">
        <v>0</v>
      </c>
      <c r="AU78" s="52">
        <v>0</v>
      </c>
      <c r="AV78" s="52">
        <v>0</v>
      </c>
      <c r="BE78" s="40"/>
      <c r="BF78"/>
      <c r="BG78"/>
      <c r="BH78" s="40" t="s">
        <v>1416</v>
      </c>
      <c r="BI78" s="40">
        <v>0</v>
      </c>
    </row>
    <row r="79" spans="1:61" x14ac:dyDescent="0.25">
      <c r="A79" s="6">
        <v>75</v>
      </c>
      <c r="B79" s="6" t="s">
        <v>1325</v>
      </c>
      <c r="C79" s="6" t="s">
        <v>1325</v>
      </c>
      <c r="D79" s="6" t="s">
        <v>1326</v>
      </c>
      <c r="E79" s="6" t="s">
        <v>4</v>
      </c>
      <c r="F79" s="17">
        <v>40283.129861111112</v>
      </c>
      <c r="G79" s="21">
        <v>-5</v>
      </c>
      <c r="H79" s="4">
        <v>40282.921527777777</v>
      </c>
      <c r="I79" s="3">
        <v>1800</v>
      </c>
      <c r="J79" s="3">
        <v>15000</v>
      </c>
      <c r="K79" s="3">
        <v>4.8399999999999999E-2</v>
      </c>
      <c r="L79" s="3">
        <v>114.5</v>
      </c>
      <c r="M79" s="3">
        <v>72</v>
      </c>
      <c r="N79" s="3" t="s">
        <v>1327</v>
      </c>
      <c r="O79" s="3">
        <v>42.934342999999998</v>
      </c>
      <c r="P79" s="3">
        <v>-90.509808000000007</v>
      </c>
      <c r="Q79" s="3">
        <v>28000</v>
      </c>
      <c r="R79" s="3">
        <v>28000</v>
      </c>
      <c r="S79" s="3">
        <v>15000</v>
      </c>
      <c r="T79" s="3">
        <v>50</v>
      </c>
      <c r="U79" s="3">
        <v>28000</v>
      </c>
      <c r="V79" s="3" t="s">
        <v>115</v>
      </c>
      <c r="W79" s="3" t="s">
        <v>244</v>
      </c>
      <c r="X79" s="3">
        <v>0</v>
      </c>
      <c r="Y79" s="3">
        <v>60000</v>
      </c>
      <c r="Z79" s="3">
        <v>60000</v>
      </c>
      <c r="AA79" s="5">
        <v>2000</v>
      </c>
      <c r="AB79" s="5">
        <v>3</v>
      </c>
      <c r="AC79" s="5">
        <v>6</v>
      </c>
      <c r="AD79" s="5">
        <v>0</v>
      </c>
      <c r="AE79" s="5">
        <v>0</v>
      </c>
      <c r="AF79" s="5">
        <v>1000</v>
      </c>
      <c r="AG79" s="5">
        <v>-1</v>
      </c>
      <c r="AH79" s="5">
        <v>1</v>
      </c>
      <c r="AI79" s="45" t="s">
        <v>1320</v>
      </c>
      <c r="AJ79" s="45">
        <v>0</v>
      </c>
      <c r="AK79" s="45" t="s">
        <v>1320</v>
      </c>
      <c r="AL79" s="23">
        <v>0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5">
        <v>0</v>
      </c>
      <c r="AS79" s="54">
        <v>0</v>
      </c>
      <c r="AT79" s="52">
        <v>0</v>
      </c>
      <c r="AU79" s="52">
        <v>0</v>
      </c>
      <c r="AV79" s="52">
        <v>0</v>
      </c>
      <c r="AW79" s="38">
        <v>0</v>
      </c>
      <c r="AX79" s="38">
        <v>0</v>
      </c>
      <c r="AY79" s="38">
        <v>0</v>
      </c>
      <c r="AZ79" s="38">
        <v>0</v>
      </c>
      <c r="BA79" s="38">
        <v>0</v>
      </c>
      <c r="BB79" s="38">
        <v>0</v>
      </c>
      <c r="BC79" s="38">
        <v>0</v>
      </c>
      <c r="BD79" s="38">
        <v>0</v>
      </c>
      <c r="BE79" s="38">
        <v>0</v>
      </c>
      <c r="BF79" s="38">
        <v>0</v>
      </c>
      <c r="BG79" s="40">
        <v>0</v>
      </c>
      <c r="BH79" s="40" t="s">
        <v>1416</v>
      </c>
      <c r="BI79" s="40">
        <v>0</v>
      </c>
    </row>
    <row r="80" spans="1:61" x14ac:dyDescent="0.25">
      <c r="A80" s="6">
        <v>76</v>
      </c>
      <c r="B80" s="6" t="s">
        <v>1328</v>
      </c>
      <c r="C80" s="6" t="s">
        <v>1329</v>
      </c>
      <c r="D80" s="6" t="s">
        <v>1330</v>
      </c>
      <c r="E80" s="6" t="s">
        <v>749</v>
      </c>
      <c r="F80" s="17">
        <v>43945.708333333336</v>
      </c>
      <c r="G80" s="21">
        <v>3</v>
      </c>
      <c r="H80" s="4">
        <v>43945.833333333336</v>
      </c>
      <c r="I80" s="3">
        <v>100</v>
      </c>
      <c r="J80" s="3">
        <v>20000</v>
      </c>
      <c r="K80" s="3">
        <v>3.8240917782026762E-2</v>
      </c>
      <c r="L80" s="3">
        <v>18</v>
      </c>
      <c r="M80" s="3">
        <v>40</v>
      </c>
      <c r="N80" s="3" t="s">
        <v>1331</v>
      </c>
      <c r="O80" s="3">
        <v>-0.61</v>
      </c>
      <c r="P80" s="3">
        <v>37.26</v>
      </c>
      <c r="Q80" s="3">
        <v>0</v>
      </c>
      <c r="R80" s="3">
        <v>20000</v>
      </c>
      <c r="S80" s="3">
        <v>300</v>
      </c>
      <c r="T80" s="3">
        <v>0</v>
      </c>
      <c r="U80" s="3">
        <v>15000</v>
      </c>
      <c r="V80" s="3" t="s">
        <v>81</v>
      </c>
      <c r="W80" s="3" t="s">
        <v>382</v>
      </c>
      <c r="X80" s="3">
        <v>0</v>
      </c>
      <c r="Y80" s="3">
        <v>60000</v>
      </c>
      <c r="Z80" s="3">
        <v>60000</v>
      </c>
      <c r="AA80" s="5">
        <v>5000</v>
      </c>
      <c r="AB80" s="5">
        <v>3</v>
      </c>
      <c r="AC80" s="5">
        <v>10</v>
      </c>
      <c r="AD80" s="5">
        <v>5.0000000000000001E-3</v>
      </c>
      <c r="AE80" s="5">
        <v>5.0000000000000001E-3</v>
      </c>
      <c r="AF80" s="5">
        <v>0</v>
      </c>
      <c r="AG80" s="5">
        <v>-1.5</v>
      </c>
      <c r="AH80" s="5">
        <v>1.5</v>
      </c>
      <c r="AI80" s="45">
        <v>0</v>
      </c>
      <c r="AJ80" s="45">
        <v>0</v>
      </c>
      <c r="AK80" s="45">
        <v>0</v>
      </c>
      <c r="AL80" s="23">
        <v>0</v>
      </c>
      <c r="AM80" s="23">
        <v>0</v>
      </c>
      <c r="AN80" s="23">
        <v>0</v>
      </c>
      <c r="AO80" s="23">
        <v>0</v>
      </c>
      <c r="AP80" s="23">
        <v>0</v>
      </c>
      <c r="AQ80" s="23">
        <v>0</v>
      </c>
      <c r="AR80" s="25">
        <v>0</v>
      </c>
      <c r="AS80" s="54">
        <v>0</v>
      </c>
      <c r="AT80" s="52">
        <v>0</v>
      </c>
      <c r="AU80" s="52">
        <v>0</v>
      </c>
      <c r="AV80" s="52">
        <v>0</v>
      </c>
      <c r="AW80" s="38">
        <v>0</v>
      </c>
      <c r="AX80" s="38">
        <v>0</v>
      </c>
      <c r="AY80" s="38">
        <v>0</v>
      </c>
      <c r="AZ80" s="38">
        <v>0</v>
      </c>
      <c r="BA80" s="38">
        <v>0</v>
      </c>
      <c r="BB80" s="38">
        <v>0</v>
      </c>
      <c r="BC80" s="38">
        <v>0</v>
      </c>
      <c r="BD80" s="38">
        <v>0</v>
      </c>
      <c r="BE80" s="38">
        <v>0</v>
      </c>
      <c r="BF80" s="38">
        <v>0</v>
      </c>
      <c r="BG80" s="40">
        <v>0</v>
      </c>
      <c r="BH80" s="40" t="s">
        <v>1416</v>
      </c>
      <c r="BI80" s="40">
        <v>0</v>
      </c>
    </row>
    <row r="81" spans="1:61" x14ac:dyDescent="0.25">
      <c r="A81" s="6">
        <v>77</v>
      </c>
      <c r="B81" s="6" t="s">
        <v>1332</v>
      </c>
      <c r="C81" s="6" t="s">
        <v>1333</v>
      </c>
      <c r="D81" s="6" t="s">
        <v>1332</v>
      </c>
      <c r="E81" s="6" t="s">
        <v>71</v>
      </c>
      <c r="F81" s="17">
        <v>43959.267534722225</v>
      </c>
      <c r="G81" s="21">
        <v>-3</v>
      </c>
      <c r="H81" s="4">
        <f t="shared" ref="H81:H112" si="5">F81+G81/24</f>
        <v>43959.142534722225</v>
      </c>
      <c r="I81" s="3">
        <v>100</v>
      </c>
      <c r="J81" s="3">
        <v>15000</v>
      </c>
      <c r="K81" s="3">
        <f>I81*J81^2/2/4.184/10^12</f>
        <v>2.6888145315487571E-3</v>
      </c>
      <c r="L81" s="3">
        <v>53.6</v>
      </c>
      <c r="M81" s="3">
        <v>70</v>
      </c>
      <c r="N81" s="3" t="s">
        <v>1334</v>
      </c>
      <c r="O81" s="3">
        <v>-18.879745</v>
      </c>
      <c r="P81" s="3">
        <v>-46.146782000000002</v>
      </c>
      <c r="Q81" s="3">
        <v>30860</v>
      </c>
      <c r="R81" s="3">
        <v>30860</v>
      </c>
      <c r="S81" s="3">
        <v>15000</v>
      </c>
      <c r="T81" s="3">
        <v>70</v>
      </c>
      <c r="U81" s="3">
        <v>30860</v>
      </c>
      <c r="V81" s="3" t="s">
        <v>144</v>
      </c>
      <c r="W81" s="3" t="s">
        <v>382</v>
      </c>
      <c r="X81" s="3">
        <v>0</v>
      </c>
      <c r="Y81" s="3">
        <v>60000</v>
      </c>
      <c r="Z81" s="3">
        <v>60000</v>
      </c>
      <c r="AA81" s="5">
        <v>2000</v>
      </c>
      <c r="AB81" s="5">
        <v>3</v>
      </c>
      <c r="AC81" s="5">
        <v>10</v>
      </c>
      <c r="AD81" s="5">
        <v>5.0000000000000001E-3</v>
      </c>
      <c r="AE81" s="5">
        <v>5.0000000000000001E-3</v>
      </c>
      <c r="AF81" s="5">
        <v>1000</v>
      </c>
      <c r="AG81" s="5">
        <v>-1.5</v>
      </c>
      <c r="AH81" s="5">
        <v>1.5</v>
      </c>
      <c r="AI81" s="45">
        <v>0</v>
      </c>
      <c r="AJ81" s="45">
        <v>0</v>
      </c>
      <c r="AK81" s="45">
        <v>0</v>
      </c>
      <c r="AL81" s="23">
        <v>0</v>
      </c>
      <c r="AM81" s="23">
        <v>0</v>
      </c>
      <c r="AN81" s="23">
        <v>0</v>
      </c>
      <c r="AO81" s="23">
        <v>0</v>
      </c>
      <c r="AP81" s="23">
        <v>0</v>
      </c>
      <c r="AQ81" s="23">
        <v>0</v>
      </c>
      <c r="AR81" s="25">
        <v>0</v>
      </c>
      <c r="AS81" s="54">
        <v>0</v>
      </c>
      <c r="AT81" s="52">
        <v>0</v>
      </c>
      <c r="AU81" s="52">
        <v>0</v>
      </c>
      <c r="AV81" s="52">
        <v>0</v>
      </c>
      <c r="AW81" s="38">
        <v>0</v>
      </c>
      <c r="AX81" s="38">
        <v>0</v>
      </c>
      <c r="AY81" s="38">
        <v>0</v>
      </c>
      <c r="AZ81" s="38">
        <v>0</v>
      </c>
      <c r="BA81" s="38">
        <v>0</v>
      </c>
      <c r="BB81" s="38">
        <v>0</v>
      </c>
      <c r="BC81" s="38">
        <v>0</v>
      </c>
      <c r="BD81" s="38">
        <v>0</v>
      </c>
      <c r="BE81" s="38">
        <v>0</v>
      </c>
      <c r="BF81" s="38">
        <v>0</v>
      </c>
      <c r="BG81" s="40">
        <v>3</v>
      </c>
      <c r="BH81" s="40" t="s">
        <v>1416</v>
      </c>
      <c r="BI81" s="40">
        <v>0</v>
      </c>
    </row>
    <row r="82" spans="1:61" x14ac:dyDescent="0.25">
      <c r="A82" s="6">
        <v>79</v>
      </c>
      <c r="B82" s="6" t="s">
        <v>1338</v>
      </c>
      <c r="C82" s="6" t="s">
        <v>1338</v>
      </c>
      <c r="D82" s="6" t="s">
        <v>1337</v>
      </c>
      <c r="E82" s="6" t="s">
        <v>391</v>
      </c>
      <c r="F82" s="17">
        <v>43978.729328703703</v>
      </c>
      <c r="G82" s="21">
        <v>3</v>
      </c>
      <c r="H82" s="4">
        <f t="shared" si="5"/>
        <v>43978.854328703703</v>
      </c>
      <c r="I82" s="3">
        <v>6799</v>
      </c>
      <c r="J82" s="3">
        <v>14880</v>
      </c>
      <c r="K82" s="3">
        <v>0.17989920000000001</v>
      </c>
      <c r="L82" s="3">
        <v>209.3</v>
      </c>
      <c r="M82" s="3">
        <v>11.6</v>
      </c>
      <c r="N82" s="3" t="s">
        <v>1270</v>
      </c>
      <c r="O82" s="3">
        <v>40.801499999999997</v>
      </c>
      <c r="P82" s="3">
        <v>41.764000000000003</v>
      </c>
      <c r="Q82" s="3">
        <v>26805</v>
      </c>
      <c r="R82" s="3">
        <v>26805</v>
      </c>
      <c r="S82" s="3">
        <v>14880</v>
      </c>
      <c r="T82" s="3">
        <v>11.6</v>
      </c>
      <c r="U82" s="3">
        <v>25000</v>
      </c>
      <c r="V82" s="3" t="s">
        <v>144</v>
      </c>
      <c r="W82" s="3" t="s">
        <v>382</v>
      </c>
      <c r="X82" s="3">
        <v>0</v>
      </c>
      <c r="Y82" s="3">
        <v>60000</v>
      </c>
      <c r="Z82" s="3">
        <v>60000</v>
      </c>
      <c r="AA82" s="5">
        <v>500</v>
      </c>
      <c r="AB82" s="5">
        <v>4</v>
      </c>
      <c r="AC82" s="5">
        <v>4</v>
      </c>
      <c r="AD82" s="5">
        <v>3.3500000000000002E-2</v>
      </c>
      <c r="AE82" s="5">
        <v>0.03</v>
      </c>
      <c r="AF82" s="5">
        <v>500</v>
      </c>
      <c r="AG82" s="5">
        <v>-1.5</v>
      </c>
      <c r="AH82" s="5">
        <v>1.5</v>
      </c>
      <c r="AI82" s="45">
        <v>0</v>
      </c>
      <c r="AJ82" s="45">
        <v>0</v>
      </c>
      <c r="AK82" s="45">
        <v>0</v>
      </c>
      <c r="AL82" s="23">
        <v>0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5">
        <v>0</v>
      </c>
      <c r="AS82" s="54">
        <v>0</v>
      </c>
      <c r="AT82" s="52">
        <v>0</v>
      </c>
      <c r="AU82" s="52">
        <v>0</v>
      </c>
      <c r="AV82" s="52">
        <v>0</v>
      </c>
      <c r="AW82" s="38">
        <v>0</v>
      </c>
      <c r="AX82" s="38">
        <v>0</v>
      </c>
      <c r="AY82" s="38">
        <v>0</v>
      </c>
      <c r="AZ82" s="38">
        <v>0</v>
      </c>
      <c r="BA82" s="38">
        <v>0</v>
      </c>
      <c r="BB82" s="38">
        <v>0</v>
      </c>
      <c r="BC82" s="38">
        <v>0</v>
      </c>
      <c r="BD82" s="38">
        <v>0</v>
      </c>
      <c r="BE82" s="38">
        <v>0</v>
      </c>
      <c r="BF82" s="38">
        <v>0</v>
      </c>
      <c r="BG82" s="40">
        <v>2</v>
      </c>
      <c r="BH82" s="40" t="s">
        <v>1416</v>
      </c>
      <c r="BI82" s="40">
        <v>0</v>
      </c>
    </row>
    <row r="83" spans="1:61" x14ac:dyDescent="0.25">
      <c r="A83" s="6">
        <v>80</v>
      </c>
      <c r="B83" s="6" t="s">
        <v>1340</v>
      </c>
      <c r="C83" s="6" t="s">
        <v>1340</v>
      </c>
      <c r="D83" s="6" t="s">
        <v>1339</v>
      </c>
      <c r="E83" s="6" t="s">
        <v>737</v>
      </c>
      <c r="F83" s="17">
        <v>44013.730590277781</v>
      </c>
      <c r="G83" s="21">
        <v>9</v>
      </c>
      <c r="H83" s="4">
        <f t="shared" si="5"/>
        <v>44014.105590277781</v>
      </c>
      <c r="I83" s="3">
        <v>6400</v>
      </c>
      <c r="J83" s="3">
        <v>14646</v>
      </c>
      <c r="K83" s="3">
        <f t="shared" ref="K83:K130" si="6">I83*J83^2/2/4.184/10^12</f>
        <v>0.16405760305927342</v>
      </c>
      <c r="L83" s="3">
        <v>66.900000000000006</v>
      </c>
      <c r="M83" s="3">
        <v>53.652999999999999</v>
      </c>
      <c r="N83" s="3" t="s">
        <v>1334</v>
      </c>
      <c r="O83" s="3">
        <v>35.627000000000002</v>
      </c>
      <c r="P83" s="3">
        <v>139.93600000000001</v>
      </c>
      <c r="Q83" s="3">
        <v>22000</v>
      </c>
      <c r="R83" s="3">
        <v>22000</v>
      </c>
      <c r="S83" s="3">
        <v>14646</v>
      </c>
      <c r="T83" s="3">
        <f>90-38.135</f>
        <v>51.865000000000002</v>
      </c>
      <c r="U83" s="3">
        <v>22000</v>
      </c>
      <c r="V83" s="3" t="s">
        <v>81</v>
      </c>
      <c r="W83" s="3" t="s">
        <v>382</v>
      </c>
      <c r="X83" s="3">
        <v>0</v>
      </c>
      <c r="Y83" s="3">
        <v>60000</v>
      </c>
      <c r="Z83" s="3">
        <v>60000</v>
      </c>
      <c r="AA83" s="5">
        <v>500</v>
      </c>
      <c r="AB83" s="5">
        <v>1</v>
      </c>
      <c r="AC83" s="5">
        <v>3</v>
      </c>
      <c r="AD83" s="5">
        <v>5.0000000000000001E-3</v>
      </c>
      <c r="AE83" s="5">
        <v>5.0000000000000001E-3</v>
      </c>
      <c r="AF83" s="5">
        <v>500</v>
      </c>
      <c r="AG83" s="5">
        <v>-1.5</v>
      </c>
      <c r="AH83" s="5">
        <v>1.5</v>
      </c>
      <c r="AI83" s="45">
        <v>0</v>
      </c>
      <c r="AJ83" s="45">
        <v>0</v>
      </c>
      <c r="AK83" s="45">
        <v>0</v>
      </c>
      <c r="AL83" s="23">
        <v>0</v>
      </c>
      <c r="AM83" s="23">
        <v>0</v>
      </c>
      <c r="AN83" s="23">
        <v>0</v>
      </c>
      <c r="AO83" s="23">
        <v>0</v>
      </c>
      <c r="AP83" s="23">
        <v>0</v>
      </c>
      <c r="AQ83" s="23">
        <v>0</v>
      </c>
      <c r="AR83" s="25">
        <v>0</v>
      </c>
      <c r="AS83" s="54">
        <v>0</v>
      </c>
      <c r="AT83" s="52">
        <v>0</v>
      </c>
      <c r="AU83" s="52">
        <v>0</v>
      </c>
      <c r="AV83" s="52">
        <v>0</v>
      </c>
      <c r="AW83" s="38">
        <v>0</v>
      </c>
      <c r="AX83" s="38">
        <v>0</v>
      </c>
      <c r="AY83" s="38">
        <v>0</v>
      </c>
      <c r="AZ83" s="38">
        <v>0</v>
      </c>
      <c r="BA83" s="38">
        <v>0</v>
      </c>
      <c r="BB83" s="38">
        <v>0</v>
      </c>
      <c r="BC83" s="38">
        <v>0</v>
      </c>
      <c r="BD83" s="38">
        <v>0</v>
      </c>
      <c r="BE83" s="38">
        <v>0</v>
      </c>
      <c r="BF83" s="38">
        <v>0</v>
      </c>
      <c r="BG83" s="40">
        <v>3</v>
      </c>
      <c r="BH83" s="40" t="s">
        <v>1416</v>
      </c>
      <c r="BI83" s="40">
        <v>0</v>
      </c>
    </row>
    <row r="84" spans="1:61" x14ac:dyDescent="0.25">
      <c r="A84" s="6">
        <v>81</v>
      </c>
      <c r="B84" s="6" t="s">
        <v>1341</v>
      </c>
      <c r="C84" s="6" t="s">
        <v>1342</v>
      </c>
      <c r="D84" s="6" t="s">
        <v>1341</v>
      </c>
      <c r="E84" s="6" t="s">
        <v>71</v>
      </c>
      <c r="F84" s="17">
        <v>44027.915972222225</v>
      </c>
      <c r="G84" s="21">
        <v>-3</v>
      </c>
      <c r="H84" s="4">
        <f t="shared" si="5"/>
        <v>44027.790972222225</v>
      </c>
      <c r="I84" s="3">
        <v>200</v>
      </c>
      <c r="J84" s="3">
        <v>12500</v>
      </c>
      <c r="K84" s="3">
        <f t="shared" si="6"/>
        <v>3.7344646271510514E-3</v>
      </c>
      <c r="L84" s="3">
        <v>144.6</v>
      </c>
      <c r="M84" s="3">
        <v>50.92</v>
      </c>
      <c r="N84" s="3" t="s">
        <v>1334</v>
      </c>
      <c r="O84" s="3">
        <v>-8.3266200000000001</v>
      </c>
      <c r="P84" s="3">
        <v>-37.475659999999998</v>
      </c>
      <c r="Q84" s="3">
        <v>28000</v>
      </c>
      <c r="R84" s="3">
        <v>28000</v>
      </c>
      <c r="S84" s="3">
        <v>18000</v>
      </c>
      <c r="T84" s="3">
        <f>M84</f>
        <v>50.92</v>
      </c>
      <c r="U84" s="3">
        <v>25000</v>
      </c>
      <c r="V84" s="3" t="s">
        <v>144</v>
      </c>
      <c r="W84" s="3" t="s">
        <v>382</v>
      </c>
      <c r="X84" s="3">
        <v>0</v>
      </c>
      <c r="Y84" s="3">
        <v>60000</v>
      </c>
      <c r="Z84" s="3">
        <v>60000</v>
      </c>
      <c r="AA84" s="5">
        <v>310</v>
      </c>
      <c r="AB84" s="5">
        <v>2</v>
      </c>
      <c r="AC84" s="5">
        <v>5</v>
      </c>
      <c r="AD84" s="5">
        <v>0.01</v>
      </c>
      <c r="AE84" s="5">
        <v>0.02</v>
      </c>
      <c r="AF84" s="5">
        <v>804</v>
      </c>
      <c r="AG84" s="5">
        <v>-1.5</v>
      </c>
      <c r="AH84" s="5">
        <v>1.5</v>
      </c>
      <c r="AI84" s="45">
        <v>0</v>
      </c>
      <c r="AJ84" s="45">
        <v>0</v>
      </c>
      <c r="AK84" s="45">
        <v>0</v>
      </c>
      <c r="AL84" s="23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5">
        <v>0</v>
      </c>
      <c r="AS84" s="54">
        <v>0</v>
      </c>
      <c r="AT84" s="52">
        <v>0</v>
      </c>
      <c r="AU84" s="52">
        <v>0</v>
      </c>
      <c r="AV84" s="52">
        <v>0</v>
      </c>
      <c r="AW84" s="38">
        <v>0</v>
      </c>
      <c r="AX84" s="38">
        <v>0</v>
      </c>
      <c r="AY84" s="38">
        <v>0</v>
      </c>
      <c r="AZ84" s="38">
        <v>0</v>
      </c>
      <c r="BA84" s="38">
        <v>0</v>
      </c>
      <c r="BB84" s="38">
        <v>0</v>
      </c>
      <c r="BC84" s="38">
        <v>0</v>
      </c>
      <c r="BD84" s="38">
        <v>0</v>
      </c>
      <c r="BE84" s="38">
        <v>0</v>
      </c>
      <c r="BF84" s="38">
        <v>0</v>
      </c>
      <c r="BG84" s="40">
        <v>3</v>
      </c>
      <c r="BH84" s="40" t="s">
        <v>1416</v>
      </c>
      <c r="BI84" s="40">
        <v>0</v>
      </c>
    </row>
    <row r="85" spans="1:61" x14ac:dyDescent="0.25">
      <c r="A85" s="6">
        <v>82</v>
      </c>
      <c r="B85" s="6" t="s">
        <v>1343</v>
      </c>
      <c r="C85" s="6" t="s">
        <v>1344</v>
      </c>
      <c r="D85" s="6" t="s">
        <v>1343</v>
      </c>
      <c r="E85" s="6" t="s">
        <v>394</v>
      </c>
      <c r="F85" s="17">
        <v>44043.017361111109</v>
      </c>
      <c r="G85" s="21">
        <v>2</v>
      </c>
      <c r="H85" s="4">
        <f t="shared" si="5"/>
        <v>44043.100694444445</v>
      </c>
      <c r="I85" s="3">
        <v>150</v>
      </c>
      <c r="J85" s="3">
        <v>18000</v>
      </c>
      <c r="K85" s="3">
        <f t="shared" si="6"/>
        <v>5.8078393881453149E-3</v>
      </c>
      <c r="L85" s="3">
        <v>48.17</v>
      </c>
      <c r="M85" s="3">
        <v>60.204999999999998</v>
      </c>
      <c r="N85" s="3" t="s">
        <v>1334</v>
      </c>
      <c r="O85" s="3">
        <v>51.082000000000001</v>
      </c>
      <c r="P85" s="3">
        <v>21.238</v>
      </c>
      <c r="Q85" s="3">
        <v>32800</v>
      </c>
      <c r="R85" s="3">
        <v>32800</v>
      </c>
      <c r="S85" s="3">
        <v>18000</v>
      </c>
      <c r="T85" s="3">
        <v>60.204999999999998</v>
      </c>
      <c r="U85" s="3">
        <v>32800</v>
      </c>
      <c r="V85" s="3" t="s">
        <v>144</v>
      </c>
      <c r="W85" s="3" t="s">
        <v>382</v>
      </c>
      <c r="X85" s="3">
        <v>0</v>
      </c>
      <c r="Y85" s="3">
        <v>60000</v>
      </c>
      <c r="Z85" s="3">
        <v>60000</v>
      </c>
      <c r="AA85" s="5">
        <v>500</v>
      </c>
      <c r="AB85" s="5">
        <v>1</v>
      </c>
      <c r="AC85" s="5">
        <v>3</v>
      </c>
      <c r="AD85" s="5">
        <v>5.0000000000000001E-3</v>
      </c>
      <c r="AE85" s="5">
        <v>5.0000000000000001E-3</v>
      </c>
      <c r="AF85" s="5">
        <v>500</v>
      </c>
      <c r="AG85" s="5">
        <v>-1.5</v>
      </c>
      <c r="AH85" s="5">
        <v>1.5</v>
      </c>
      <c r="AI85" s="45">
        <v>0</v>
      </c>
      <c r="AJ85" s="45">
        <v>0</v>
      </c>
      <c r="AK85" s="45">
        <v>0</v>
      </c>
      <c r="AL85" s="23">
        <v>0</v>
      </c>
      <c r="AM85" s="23">
        <v>0</v>
      </c>
      <c r="AN85" s="23">
        <v>0</v>
      </c>
      <c r="AO85" s="23">
        <v>0</v>
      </c>
      <c r="AP85" s="23">
        <v>0</v>
      </c>
      <c r="AQ85" s="23">
        <v>0</v>
      </c>
      <c r="AR85" s="25">
        <v>0</v>
      </c>
      <c r="AS85" s="54">
        <v>0</v>
      </c>
      <c r="AT85" s="52">
        <v>0</v>
      </c>
      <c r="AU85" s="52">
        <v>0</v>
      </c>
      <c r="AV85" s="52">
        <v>0</v>
      </c>
      <c r="AW85" s="38">
        <v>0</v>
      </c>
      <c r="AX85" s="38">
        <v>0</v>
      </c>
      <c r="AY85" s="38">
        <v>0</v>
      </c>
      <c r="AZ85" s="38">
        <v>0</v>
      </c>
      <c r="BA85" s="38">
        <v>0</v>
      </c>
      <c r="BB85" s="38">
        <v>0</v>
      </c>
      <c r="BC85" s="38">
        <v>0</v>
      </c>
      <c r="BD85" s="38">
        <v>0</v>
      </c>
      <c r="BE85" s="38">
        <v>0</v>
      </c>
      <c r="BF85" s="38">
        <v>0</v>
      </c>
      <c r="BG85" s="40">
        <v>1</v>
      </c>
      <c r="BH85" s="40" t="s">
        <v>1416</v>
      </c>
      <c r="BI85" s="40">
        <v>0</v>
      </c>
    </row>
    <row r="86" spans="1:61" x14ac:dyDescent="0.25">
      <c r="A86" s="6">
        <v>83</v>
      </c>
      <c r="B86" s="6" t="s">
        <v>1345</v>
      </c>
      <c r="C86" s="6" t="s">
        <v>1345</v>
      </c>
      <c r="D86" s="6" t="s">
        <v>1341</v>
      </c>
      <c r="E86" s="6" t="s">
        <v>71</v>
      </c>
      <c r="F86" s="17">
        <v>44062.554560185185</v>
      </c>
      <c r="G86" s="21">
        <v>-3</v>
      </c>
      <c r="H86" s="4">
        <f t="shared" si="5"/>
        <v>44062.429560185185</v>
      </c>
      <c r="I86" s="3">
        <v>1000</v>
      </c>
      <c r="J86" s="3">
        <v>17970</v>
      </c>
      <c r="K86" s="3">
        <f t="shared" si="6"/>
        <v>3.8589973709369028E-2</v>
      </c>
      <c r="L86" s="3">
        <v>268.2</v>
      </c>
      <c r="M86" s="3">
        <v>69.2</v>
      </c>
      <c r="N86" s="3" t="s">
        <v>1334</v>
      </c>
      <c r="O86" s="3">
        <v>-8.1699000000000002</v>
      </c>
      <c r="P86" s="3">
        <v>-40.536999999999999</v>
      </c>
      <c r="Q86" s="3">
        <v>25000</v>
      </c>
      <c r="R86" s="3">
        <v>25000</v>
      </c>
      <c r="S86" s="3">
        <v>17970</v>
      </c>
      <c r="T86" s="3">
        <v>69.2</v>
      </c>
      <c r="U86" s="3">
        <v>20900</v>
      </c>
      <c r="V86" s="3" t="s">
        <v>79</v>
      </c>
      <c r="W86" s="3" t="s">
        <v>382</v>
      </c>
      <c r="X86" s="3">
        <v>0</v>
      </c>
      <c r="Y86" s="3">
        <v>60000</v>
      </c>
      <c r="Z86" s="3">
        <v>60000</v>
      </c>
      <c r="AA86" s="5">
        <v>500</v>
      </c>
      <c r="AB86" s="5">
        <v>1.1000000000000001</v>
      </c>
      <c r="AC86" s="5">
        <v>2</v>
      </c>
      <c r="AD86" s="5">
        <v>2.3E-3</v>
      </c>
      <c r="AE86" s="5">
        <v>8.5000000000000006E-3</v>
      </c>
      <c r="AF86" s="5">
        <v>250</v>
      </c>
      <c r="AG86" s="5">
        <v>-1.5</v>
      </c>
      <c r="AH86" s="5">
        <v>1.5</v>
      </c>
      <c r="AI86" s="45">
        <v>0</v>
      </c>
      <c r="AJ86" s="45">
        <v>0</v>
      </c>
      <c r="AK86" s="45">
        <v>0</v>
      </c>
      <c r="AL86" s="23">
        <v>0</v>
      </c>
      <c r="AM86" s="23">
        <v>0</v>
      </c>
      <c r="AN86" s="23">
        <v>50</v>
      </c>
      <c r="AO86" s="23">
        <v>38000</v>
      </c>
      <c r="AP86" s="23">
        <v>0</v>
      </c>
      <c r="AQ86" s="23">
        <v>0</v>
      </c>
      <c r="AR86" s="25">
        <v>0</v>
      </c>
      <c r="AS86" s="54">
        <v>0</v>
      </c>
      <c r="AT86" s="52">
        <v>0</v>
      </c>
      <c r="AU86" s="52">
        <v>0</v>
      </c>
      <c r="AV86" s="52">
        <v>0</v>
      </c>
      <c r="AW86" s="38">
        <v>0</v>
      </c>
      <c r="AX86" s="38">
        <v>0</v>
      </c>
      <c r="AY86" s="38">
        <v>0</v>
      </c>
      <c r="AZ86" s="38">
        <v>0</v>
      </c>
      <c r="BA86" s="38">
        <v>0</v>
      </c>
      <c r="BB86" s="38">
        <v>0</v>
      </c>
      <c r="BC86" s="38">
        <v>0</v>
      </c>
      <c r="BD86" s="38">
        <v>0</v>
      </c>
      <c r="BE86" s="38">
        <v>0</v>
      </c>
      <c r="BF86" s="38">
        <v>0</v>
      </c>
      <c r="BG86" s="40">
        <v>4</v>
      </c>
      <c r="BH86" s="40" t="s">
        <v>1416</v>
      </c>
      <c r="BI86" s="40">
        <v>0</v>
      </c>
    </row>
    <row r="87" spans="1:61" x14ac:dyDescent="0.25">
      <c r="A87" s="6">
        <v>84</v>
      </c>
      <c r="B87" s="6" t="s">
        <v>1347</v>
      </c>
      <c r="C87" s="6" t="s">
        <v>1347</v>
      </c>
      <c r="D87" s="6" t="s">
        <v>1346</v>
      </c>
      <c r="E87" s="6" t="s">
        <v>71</v>
      </c>
      <c r="F87" s="17">
        <v>44105.173020833332</v>
      </c>
      <c r="G87" s="21">
        <v>-3</v>
      </c>
      <c r="H87" s="4">
        <f t="shared" si="5"/>
        <v>44105.048020833332</v>
      </c>
      <c r="I87" s="3">
        <v>200</v>
      </c>
      <c r="J87" s="3">
        <v>16550</v>
      </c>
      <c r="K87" s="3">
        <f t="shared" si="6"/>
        <v>6.546426864244741E-3</v>
      </c>
      <c r="L87" s="3">
        <v>344.85</v>
      </c>
      <c r="M87" s="3">
        <v>49.92</v>
      </c>
      <c r="N87" s="3" t="s">
        <v>1334</v>
      </c>
      <c r="O87" s="3">
        <v>-28.529879999999999</v>
      </c>
      <c r="P87" s="3">
        <v>-51.107480000000002</v>
      </c>
      <c r="Q87" s="3">
        <v>17260</v>
      </c>
      <c r="R87" s="3">
        <v>17260</v>
      </c>
      <c r="S87" s="3">
        <v>16550</v>
      </c>
      <c r="T87" s="3">
        <v>49.92</v>
      </c>
      <c r="U87" s="3">
        <v>17000</v>
      </c>
      <c r="V87" s="3" t="s">
        <v>144</v>
      </c>
      <c r="W87" s="3" t="s">
        <v>382</v>
      </c>
      <c r="X87" s="3">
        <v>0</v>
      </c>
      <c r="Y87" s="3">
        <v>60000</v>
      </c>
      <c r="Z87" s="3">
        <v>60000</v>
      </c>
      <c r="AA87" s="5">
        <v>500</v>
      </c>
      <c r="AB87" s="5">
        <v>1.35</v>
      </c>
      <c r="AC87" s="5">
        <v>1.1000000000000001</v>
      </c>
      <c r="AD87" s="5">
        <v>5.0000000000000001E-3</v>
      </c>
      <c r="AE87" s="5">
        <v>5.0000000000000001E-3</v>
      </c>
      <c r="AF87" s="5">
        <v>500</v>
      </c>
      <c r="AG87" s="5">
        <v>-1.5</v>
      </c>
      <c r="AH87" s="5">
        <v>1.5</v>
      </c>
      <c r="AI87" s="45">
        <v>0</v>
      </c>
      <c r="AJ87" s="45">
        <v>0</v>
      </c>
      <c r="AK87" s="45">
        <v>0</v>
      </c>
      <c r="AL87" s="23">
        <v>0</v>
      </c>
      <c r="AM87" s="23">
        <v>0</v>
      </c>
      <c r="AN87" s="23">
        <v>0</v>
      </c>
      <c r="AO87" s="23">
        <v>0</v>
      </c>
      <c r="AP87" s="23">
        <v>0</v>
      </c>
      <c r="AQ87" s="23">
        <v>0</v>
      </c>
      <c r="AR87" s="25">
        <v>0</v>
      </c>
      <c r="AS87" s="54">
        <v>0</v>
      </c>
      <c r="AT87" s="52">
        <v>0</v>
      </c>
      <c r="AU87" s="52">
        <v>0</v>
      </c>
      <c r="AV87" s="52">
        <v>0</v>
      </c>
      <c r="AW87" s="38">
        <v>0</v>
      </c>
      <c r="AX87" s="38">
        <v>0</v>
      </c>
      <c r="AY87" s="38">
        <v>0</v>
      </c>
      <c r="AZ87" s="38">
        <v>0</v>
      </c>
      <c r="BA87" s="38">
        <v>0</v>
      </c>
      <c r="BB87" s="38">
        <v>0</v>
      </c>
      <c r="BC87" s="38">
        <v>0</v>
      </c>
      <c r="BD87" s="38">
        <v>0</v>
      </c>
      <c r="BE87" s="38">
        <v>0</v>
      </c>
      <c r="BF87" s="38">
        <v>0</v>
      </c>
      <c r="BG87" s="40">
        <v>3</v>
      </c>
      <c r="BH87" s="40" t="s">
        <v>1416</v>
      </c>
      <c r="BI87" s="40">
        <v>0</v>
      </c>
    </row>
    <row r="88" spans="1:61" x14ac:dyDescent="0.25">
      <c r="A88" s="6">
        <v>85</v>
      </c>
      <c r="B88" s="6" t="s">
        <v>1349</v>
      </c>
      <c r="C88" s="6" t="s">
        <v>1349</v>
      </c>
      <c r="D88" s="6" t="s">
        <v>1348</v>
      </c>
      <c r="E88" s="6" t="s">
        <v>4</v>
      </c>
      <c r="F88" s="17">
        <v>44136.995266203703</v>
      </c>
      <c r="G88" s="21">
        <v>-6</v>
      </c>
      <c r="H88" s="4">
        <f t="shared" si="5"/>
        <v>44136.745266203703</v>
      </c>
      <c r="I88" s="3">
        <v>10</v>
      </c>
      <c r="J88" s="3">
        <v>20100</v>
      </c>
      <c r="K88" s="3">
        <f t="shared" si="6"/>
        <v>4.8280353728489482E-4</v>
      </c>
      <c r="L88" s="3">
        <v>221.96</v>
      </c>
      <c r="M88" s="3">
        <v>35.020000000000003</v>
      </c>
      <c r="N88" s="3" t="s">
        <v>1334</v>
      </c>
      <c r="O88" s="3">
        <v>33.633000000000003</v>
      </c>
      <c r="P88" s="3">
        <v>-86.052999999999997</v>
      </c>
      <c r="Q88" s="3">
        <v>32200</v>
      </c>
      <c r="R88" s="3">
        <v>32200</v>
      </c>
      <c r="S88" s="3">
        <v>20100</v>
      </c>
      <c r="T88" s="3">
        <v>35.020000000000003</v>
      </c>
      <c r="U88" s="3">
        <v>32000</v>
      </c>
      <c r="V88" s="3" t="s">
        <v>144</v>
      </c>
      <c r="W88" s="3" t="s">
        <v>382</v>
      </c>
      <c r="X88" s="3">
        <v>0</v>
      </c>
      <c r="Y88" s="3">
        <v>60000</v>
      </c>
      <c r="Z88" s="3">
        <v>60000</v>
      </c>
      <c r="AA88" s="5">
        <v>1500</v>
      </c>
      <c r="AB88" s="5">
        <v>3</v>
      </c>
      <c r="AC88" s="5">
        <v>2</v>
      </c>
      <c r="AD88" s="5">
        <v>5.0000000000000001E-3</v>
      </c>
      <c r="AE88" s="5">
        <v>5.0000000000000001E-3</v>
      </c>
      <c r="AF88" s="5">
        <v>500</v>
      </c>
      <c r="AG88" s="5">
        <v>-1.5</v>
      </c>
      <c r="AH88" s="5">
        <v>1.5</v>
      </c>
      <c r="AI88" s="45">
        <v>0</v>
      </c>
      <c r="AJ88" s="45">
        <v>0</v>
      </c>
      <c r="AK88" s="45">
        <v>0</v>
      </c>
      <c r="AL88" s="23">
        <v>0</v>
      </c>
      <c r="AM88" s="23">
        <v>0</v>
      </c>
      <c r="AN88" s="23">
        <v>0</v>
      </c>
      <c r="AO88" s="23">
        <v>0</v>
      </c>
      <c r="AP88" s="23">
        <v>0</v>
      </c>
      <c r="AQ88" s="23">
        <v>0</v>
      </c>
      <c r="AR88" s="25">
        <v>0</v>
      </c>
      <c r="AS88" s="54">
        <v>0</v>
      </c>
      <c r="AT88" s="52">
        <v>0</v>
      </c>
      <c r="AU88" s="52">
        <v>0</v>
      </c>
      <c r="AV88" s="52">
        <v>0</v>
      </c>
      <c r="AW88" s="38">
        <v>0</v>
      </c>
      <c r="AX88" s="38">
        <v>0</v>
      </c>
      <c r="AY88" s="38">
        <v>0</v>
      </c>
      <c r="AZ88" s="38">
        <v>0</v>
      </c>
      <c r="BA88" s="38">
        <v>0</v>
      </c>
      <c r="BB88" s="38">
        <v>0</v>
      </c>
      <c r="BC88" s="38">
        <v>0</v>
      </c>
      <c r="BD88" s="38">
        <v>0</v>
      </c>
      <c r="BE88" s="38">
        <v>0</v>
      </c>
      <c r="BF88" s="38">
        <v>0</v>
      </c>
      <c r="BG88" s="40">
        <v>2</v>
      </c>
      <c r="BH88" s="40" t="s">
        <v>1416</v>
      </c>
      <c r="BI88" s="40">
        <v>0</v>
      </c>
    </row>
    <row r="89" spans="1:61" x14ac:dyDescent="0.25">
      <c r="A89" s="6">
        <v>86</v>
      </c>
      <c r="B89" s="6" t="s">
        <v>1350</v>
      </c>
      <c r="C89" s="6" t="s">
        <v>1350</v>
      </c>
      <c r="D89" s="6" t="s">
        <v>1351</v>
      </c>
      <c r="E89" s="6" t="s">
        <v>4</v>
      </c>
      <c r="F89" s="17">
        <v>44144.013194444444</v>
      </c>
      <c r="G89" s="21">
        <v>-4</v>
      </c>
      <c r="H89" s="4">
        <f t="shared" si="5"/>
        <v>44143.84652777778</v>
      </c>
      <c r="I89" s="3">
        <v>150</v>
      </c>
      <c r="J89" s="3">
        <v>18000</v>
      </c>
      <c r="K89" s="3">
        <f t="shared" si="6"/>
        <v>5.8078393881453149E-3</v>
      </c>
      <c r="L89" s="3">
        <v>285.2</v>
      </c>
      <c r="M89" s="3">
        <v>62.1</v>
      </c>
      <c r="N89" s="3" t="s">
        <v>1334</v>
      </c>
      <c r="O89" s="3">
        <v>41.694499999999998</v>
      </c>
      <c r="P89" s="3">
        <v>-73.899799999999999</v>
      </c>
      <c r="Q89" s="3">
        <v>37790</v>
      </c>
      <c r="R89" s="3">
        <v>40000</v>
      </c>
      <c r="S89" s="3">
        <v>18000</v>
      </c>
      <c r="T89" s="3">
        <v>62.1</v>
      </c>
      <c r="U89" s="3">
        <v>12000</v>
      </c>
      <c r="V89" s="3" t="s">
        <v>144</v>
      </c>
      <c r="W89" s="3" t="s">
        <v>382</v>
      </c>
      <c r="X89" s="3">
        <v>0</v>
      </c>
      <c r="Y89" s="3">
        <v>60000</v>
      </c>
      <c r="Z89" s="3">
        <v>60000</v>
      </c>
      <c r="AA89" s="5">
        <v>4000</v>
      </c>
      <c r="AB89" s="5">
        <v>3</v>
      </c>
      <c r="AC89" s="5">
        <v>10</v>
      </c>
      <c r="AD89" s="5">
        <v>0.01</v>
      </c>
      <c r="AE89" s="5">
        <v>0.01</v>
      </c>
      <c r="AF89" s="5">
        <v>1000</v>
      </c>
      <c r="AG89" s="5">
        <v>-1.5</v>
      </c>
      <c r="AH89" s="5">
        <v>1.5</v>
      </c>
      <c r="AI89" s="45">
        <v>0</v>
      </c>
      <c r="AJ89" s="45">
        <v>0</v>
      </c>
      <c r="AK89" s="45">
        <v>0</v>
      </c>
      <c r="AL89" s="23">
        <v>0</v>
      </c>
      <c r="AM89" s="23">
        <v>0</v>
      </c>
      <c r="AN89" s="23">
        <v>0</v>
      </c>
      <c r="AO89" s="23">
        <v>0</v>
      </c>
      <c r="AP89" s="23">
        <v>0</v>
      </c>
      <c r="AQ89" s="23">
        <v>0</v>
      </c>
      <c r="AR89" s="25">
        <v>0</v>
      </c>
      <c r="AS89" s="54">
        <v>0</v>
      </c>
      <c r="AT89" s="52">
        <v>0</v>
      </c>
      <c r="AU89" s="52">
        <v>0</v>
      </c>
      <c r="AV89" s="52">
        <v>0</v>
      </c>
      <c r="AW89" s="38">
        <v>0</v>
      </c>
      <c r="AX89" s="38">
        <v>0</v>
      </c>
      <c r="AY89" s="38">
        <v>0</v>
      </c>
      <c r="AZ89" s="38">
        <v>0</v>
      </c>
      <c r="BA89" s="38">
        <v>0</v>
      </c>
      <c r="BB89" s="38">
        <v>0</v>
      </c>
      <c r="BC89" s="38">
        <v>0</v>
      </c>
      <c r="BD89" s="38">
        <v>0</v>
      </c>
      <c r="BE89" s="38">
        <v>0</v>
      </c>
      <c r="BF89" s="38">
        <v>0</v>
      </c>
      <c r="BG89" s="40">
        <v>1</v>
      </c>
      <c r="BH89" s="40" t="s">
        <v>1416</v>
      </c>
      <c r="BI89" s="40">
        <v>0</v>
      </c>
    </row>
    <row r="90" spans="1:61" x14ac:dyDescent="0.25">
      <c r="A90" s="6">
        <v>87</v>
      </c>
      <c r="B90" s="6" t="s">
        <v>1352</v>
      </c>
      <c r="C90" s="6" t="s">
        <v>1352</v>
      </c>
      <c r="D90" s="6" t="s">
        <v>1353</v>
      </c>
      <c r="E90" s="6" t="s">
        <v>1040</v>
      </c>
      <c r="F90" s="17">
        <v>44142.893796296295</v>
      </c>
      <c r="G90" s="21">
        <v>1</v>
      </c>
      <c r="H90" s="4">
        <f t="shared" si="5"/>
        <v>44142.93546296296</v>
      </c>
      <c r="I90" s="3">
        <v>9250</v>
      </c>
      <c r="J90" s="3">
        <v>17400</v>
      </c>
      <c r="K90" s="3">
        <f t="shared" si="6"/>
        <v>0.33467136711281065</v>
      </c>
      <c r="L90" s="3">
        <v>64.159499999999994</v>
      </c>
      <c r="M90" s="3">
        <v>18.155899999999999</v>
      </c>
      <c r="N90" s="3" t="s">
        <v>1334</v>
      </c>
      <c r="O90" s="3">
        <v>59.826000000000001</v>
      </c>
      <c r="P90" s="3">
        <v>16.873000000000001</v>
      </c>
      <c r="Q90" s="3">
        <v>11400</v>
      </c>
      <c r="R90" s="3">
        <v>11400</v>
      </c>
      <c r="S90" s="3">
        <v>17400</v>
      </c>
      <c r="T90" s="3">
        <v>18.350000000000001</v>
      </c>
      <c r="U90" s="3">
        <v>17000</v>
      </c>
      <c r="V90" s="3" t="s">
        <v>1360</v>
      </c>
      <c r="W90" s="3" t="s">
        <v>382</v>
      </c>
      <c r="X90" s="3">
        <v>0</v>
      </c>
      <c r="Y90" s="3">
        <v>60000</v>
      </c>
      <c r="Z90" s="3">
        <v>60000</v>
      </c>
      <c r="AA90" s="5">
        <v>800</v>
      </c>
      <c r="AB90" s="5">
        <v>2</v>
      </c>
      <c r="AC90" s="5">
        <v>1</v>
      </c>
      <c r="AD90" s="5">
        <v>5.0000000000000001E-3</v>
      </c>
      <c r="AE90" s="5">
        <v>5.0000000000000001E-3</v>
      </c>
      <c r="AF90" s="5">
        <v>500</v>
      </c>
      <c r="AG90" s="5">
        <v>-1.5</v>
      </c>
      <c r="AH90" s="5">
        <v>1.5</v>
      </c>
      <c r="AI90" s="45" t="s">
        <v>1361</v>
      </c>
      <c r="AJ90" s="45">
        <v>0</v>
      </c>
      <c r="AK90" s="45">
        <v>0</v>
      </c>
      <c r="AL90" s="23">
        <v>0</v>
      </c>
      <c r="AM90" s="23">
        <v>2</v>
      </c>
      <c r="AN90" s="23">
        <v>14</v>
      </c>
      <c r="AO90" s="23">
        <v>0</v>
      </c>
      <c r="AP90" s="23">
        <v>0</v>
      </c>
      <c r="AQ90" s="23">
        <v>0</v>
      </c>
      <c r="AR90" s="25">
        <v>0</v>
      </c>
      <c r="AS90" s="54">
        <v>0</v>
      </c>
      <c r="AT90" s="52">
        <v>0</v>
      </c>
      <c r="AU90" s="52">
        <v>0</v>
      </c>
      <c r="AV90" s="52">
        <v>0</v>
      </c>
      <c r="AW90" s="38">
        <v>0</v>
      </c>
      <c r="AX90" s="38">
        <v>0</v>
      </c>
      <c r="AY90" s="38">
        <v>0</v>
      </c>
      <c r="AZ90" s="38">
        <v>0</v>
      </c>
      <c r="BA90" s="38">
        <v>0</v>
      </c>
      <c r="BB90" s="38">
        <v>0</v>
      </c>
      <c r="BC90" s="38">
        <v>0</v>
      </c>
      <c r="BD90" s="38">
        <v>0</v>
      </c>
      <c r="BE90" s="38">
        <v>0</v>
      </c>
      <c r="BF90" s="38">
        <v>0</v>
      </c>
      <c r="BG90" s="40">
        <v>3</v>
      </c>
      <c r="BH90" s="40" t="s">
        <v>1416</v>
      </c>
      <c r="BI90" s="40">
        <v>0</v>
      </c>
    </row>
    <row r="91" spans="1:61" x14ac:dyDescent="0.25">
      <c r="A91" s="6">
        <v>87</v>
      </c>
      <c r="B91" s="6" t="s">
        <v>1354</v>
      </c>
      <c r="C91" s="6" t="s">
        <v>1352</v>
      </c>
      <c r="D91" s="6" t="s">
        <v>1353</v>
      </c>
      <c r="E91" s="6" t="s">
        <v>1040</v>
      </c>
      <c r="F91" s="17">
        <v>44142.893796296295</v>
      </c>
      <c r="G91" s="21">
        <v>1</v>
      </c>
      <c r="H91" s="4">
        <f t="shared" si="5"/>
        <v>44142.93546296296</v>
      </c>
      <c r="I91" s="3">
        <v>9700</v>
      </c>
      <c r="J91" s="3">
        <v>17055</v>
      </c>
      <c r="K91" s="3">
        <f t="shared" si="6"/>
        <v>0.3371735590941683</v>
      </c>
      <c r="L91" s="3">
        <v>63.18</v>
      </c>
      <c r="M91" s="3">
        <v>17.477</v>
      </c>
      <c r="N91" s="3" t="s">
        <v>1334</v>
      </c>
      <c r="O91" s="3">
        <v>59.830323999999997</v>
      </c>
      <c r="P91" s="3">
        <v>16.823345</v>
      </c>
      <c r="Q91" s="3">
        <v>17200</v>
      </c>
      <c r="R91" s="3">
        <v>17200</v>
      </c>
      <c r="S91" s="3">
        <v>17000</v>
      </c>
      <c r="T91" s="3">
        <v>17.477</v>
      </c>
      <c r="U91" s="3">
        <v>17000</v>
      </c>
      <c r="V91" s="3" t="s">
        <v>1360</v>
      </c>
      <c r="W91" s="3" t="s">
        <v>382</v>
      </c>
      <c r="X91" s="3">
        <v>0</v>
      </c>
      <c r="Y91" s="3">
        <v>60000</v>
      </c>
      <c r="Z91" s="3">
        <v>60000</v>
      </c>
      <c r="AA91" s="5">
        <v>345</v>
      </c>
      <c r="AB91" s="5">
        <v>1</v>
      </c>
      <c r="AC91" s="5">
        <v>0.7</v>
      </c>
      <c r="AD91" s="5">
        <v>5.0000000000000001E-3</v>
      </c>
      <c r="AE91" s="5">
        <v>5.0000000000000001E-3</v>
      </c>
      <c r="AF91" s="5">
        <v>1000</v>
      </c>
      <c r="AG91" s="5">
        <v>-1.5</v>
      </c>
      <c r="AH91" s="5">
        <v>1.5</v>
      </c>
      <c r="AI91" s="45" t="s">
        <v>1361</v>
      </c>
      <c r="AJ91" s="45">
        <v>0</v>
      </c>
      <c r="AK91" s="45">
        <v>0</v>
      </c>
      <c r="AL91" s="23">
        <v>0</v>
      </c>
      <c r="AM91" s="23">
        <v>2</v>
      </c>
      <c r="AN91" s="23">
        <v>14</v>
      </c>
      <c r="AO91" s="23">
        <v>0</v>
      </c>
      <c r="AP91" s="23">
        <v>0</v>
      </c>
      <c r="AQ91" s="23">
        <v>0</v>
      </c>
      <c r="AR91" s="25">
        <v>0</v>
      </c>
      <c r="AS91" s="54">
        <v>0</v>
      </c>
      <c r="AT91" s="52">
        <v>0</v>
      </c>
      <c r="AU91" s="52">
        <v>0</v>
      </c>
      <c r="AV91" s="52">
        <v>0</v>
      </c>
      <c r="AW91" s="38">
        <v>0</v>
      </c>
      <c r="AX91" s="38">
        <v>0</v>
      </c>
      <c r="AY91" s="38">
        <v>0</v>
      </c>
      <c r="AZ91" s="38">
        <v>0</v>
      </c>
      <c r="BA91" s="38">
        <v>0</v>
      </c>
      <c r="BB91" s="38">
        <v>0</v>
      </c>
      <c r="BC91" s="38">
        <v>0</v>
      </c>
      <c r="BD91" s="38">
        <v>0</v>
      </c>
      <c r="BE91" s="38">
        <v>0</v>
      </c>
      <c r="BF91" s="38">
        <v>0</v>
      </c>
      <c r="BG91" s="40">
        <v>2</v>
      </c>
      <c r="BH91" s="40" t="s">
        <v>1416</v>
      </c>
      <c r="BI91" s="40">
        <v>0</v>
      </c>
    </row>
    <row r="92" spans="1:61" x14ac:dyDescent="0.25">
      <c r="A92" s="6">
        <v>90</v>
      </c>
      <c r="B92" s="6" t="s">
        <v>1355</v>
      </c>
      <c r="C92" s="6" t="s">
        <v>1355</v>
      </c>
      <c r="D92" s="6" t="s">
        <v>1351</v>
      </c>
      <c r="E92" s="6" t="s">
        <v>4</v>
      </c>
      <c r="F92" s="17">
        <v>44167.713194444441</v>
      </c>
      <c r="G92" s="21">
        <v>-5</v>
      </c>
      <c r="H92" s="4">
        <f t="shared" si="5"/>
        <v>44167.504861111105</v>
      </c>
      <c r="I92" s="3">
        <v>900</v>
      </c>
      <c r="J92" s="3">
        <v>25000</v>
      </c>
      <c r="K92" s="3">
        <f t="shared" si="6"/>
        <v>6.7220363288718929E-2</v>
      </c>
      <c r="L92" s="3">
        <v>233</v>
      </c>
      <c r="M92" s="3">
        <v>63</v>
      </c>
      <c r="N92" s="3" t="s">
        <v>1334</v>
      </c>
      <c r="O92" s="3">
        <v>42.945</v>
      </c>
      <c r="P92" s="3">
        <v>-76.655000000000001</v>
      </c>
      <c r="Q92" s="3">
        <v>28000</v>
      </c>
      <c r="R92" s="3">
        <v>28000</v>
      </c>
      <c r="S92" s="3">
        <v>25000</v>
      </c>
      <c r="T92" s="3">
        <v>63</v>
      </c>
      <c r="U92" s="3">
        <v>18000</v>
      </c>
      <c r="V92" s="3" t="s">
        <v>144</v>
      </c>
      <c r="W92" s="3" t="s">
        <v>382</v>
      </c>
      <c r="X92" s="3">
        <v>0</v>
      </c>
      <c r="Y92" s="3">
        <v>60000</v>
      </c>
      <c r="Z92" s="3">
        <v>60000</v>
      </c>
      <c r="AA92" s="5">
        <v>2000</v>
      </c>
      <c r="AB92" s="5">
        <v>8</v>
      </c>
      <c r="AC92" s="5">
        <v>8</v>
      </c>
      <c r="AD92" s="5">
        <v>5.0000000000000001E-3</v>
      </c>
      <c r="AE92" s="5">
        <v>5.0000000000000001E-3</v>
      </c>
      <c r="AF92" s="5">
        <v>2000</v>
      </c>
      <c r="AG92" s="5">
        <v>-1.5</v>
      </c>
      <c r="AH92" s="5">
        <v>1.5</v>
      </c>
      <c r="AI92" s="45">
        <v>0</v>
      </c>
      <c r="AJ92" s="45">
        <v>0</v>
      </c>
      <c r="AK92" s="45">
        <v>0</v>
      </c>
      <c r="AL92" s="23">
        <v>0</v>
      </c>
      <c r="AM92" s="23">
        <v>0</v>
      </c>
      <c r="AN92" s="23">
        <v>0</v>
      </c>
      <c r="AO92" s="23">
        <v>0</v>
      </c>
      <c r="AP92" s="23">
        <v>0</v>
      </c>
      <c r="AQ92" s="23">
        <v>0</v>
      </c>
      <c r="AR92" s="25">
        <v>0</v>
      </c>
      <c r="AS92" s="54">
        <v>0</v>
      </c>
      <c r="AT92" s="52">
        <v>0</v>
      </c>
      <c r="AU92" s="52">
        <v>0</v>
      </c>
      <c r="AV92" s="52">
        <v>0</v>
      </c>
      <c r="AW92" s="38">
        <v>0</v>
      </c>
      <c r="AX92" s="38">
        <v>0</v>
      </c>
      <c r="AY92" s="38">
        <v>0</v>
      </c>
      <c r="AZ92" s="38">
        <v>0</v>
      </c>
      <c r="BA92" s="38">
        <v>0</v>
      </c>
      <c r="BB92" s="38">
        <v>0</v>
      </c>
      <c r="BC92" s="38">
        <v>0</v>
      </c>
      <c r="BD92" s="38">
        <v>0</v>
      </c>
      <c r="BE92" s="38">
        <v>0</v>
      </c>
      <c r="BF92" s="38">
        <v>0</v>
      </c>
      <c r="BG92" s="40">
        <v>2</v>
      </c>
      <c r="BH92" s="40" t="s">
        <v>1416</v>
      </c>
      <c r="BI92" s="40">
        <v>0</v>
      </c>
    </row>
    <row r="93" spans="1:61" x14ac:dyDescent="0.25">
      <c r="A93" s="6">
        <v>91</v>
      </c>
      <c r="B93" s="6" t="s">
        <v>1356</v>
      </c>
      <c r="C93" s="6" t="s">
        <v>1356</v>
      </c>
      <c r="D93" s="6" t="s">
        <v>5</v>
      </c>
      <c r="E93" s="6" t="s">
        <v>4</v>
      </c>
      <c r="F93" s="17">
        <v>44176.018318287039</v>
      </c>
      <c r="G93" s="21">
        <v>-5</v>
      </c>
      <c r="H93" s="4">
        <f t="shared" si="5"/>
        <v>44175.809984953703</v>
      </c>
      <c r="I93" s="3">
        <v>2</v>
      </c>
      <c r="J93" s="3">
        <v>28072.8632</v>
      </c>
      <c r="K93" s="3">
        <f t="shared" si="6"/>
        <v>1.8835699049854547E-4</v>
      </c>
      <c r="L93" s="3">
        <v>250.2268</v>
      </c>
      <c r="M93" s="3">
        <v>69.266199999999998</v>
      </c>
      <c r="N93" s="3" t="s">
        <v>1334</v>
      </c>
      <c r="O93" s="3">
        <v>42.618605000000002</v>
      </c>
      <c r="P93" s="3">
        <v>-82.927769999999995</v>
      </c>
      <c r="Q93" s="3">
        <v>52447.46</v>
      </c>
      <c r="R93" s="3">
        <v>52487.816500000001</v>
      </c>
      <c r="S93" s="3">
        <v>28080</v>
      </c>
      <c r="T93" s="3">
        <v>69.3</v>
      </c>
      <c r="U93" s="3">
        <v>52000</v>
      </c>
      <c r="V93" s="3" t="s">
        <v>144</v>
      </c>
      <c r="W93" s="3" t="s">
        <v>382</v>
      </c>
      <c r="X93" s="3">
        <v>0</v>
      </c>
      <c r="Y93" s="3">
        <v>60000</v>
      </c>
      <c r="Z93" s="3">
        <v>60000</v>
      </c>
      <c r="AA93" s="5">
        <v>100</v>
      </c>
      <c r="AB93" s="5">
        <v>0.1</v>
      </c>
      <c r="AC93" s="5">
        <v>0.1</v>
      </c>
      <c r="AD93" s="5">
        <v>5.0000000000000001E-4</v>
      </c>
      <c r="AE93" s="5">
        <v>5.0000000000000001E-4</v>
      </c>
      <c r="AF93" s="5">
        <v>50</v>
      </c>
      <c r="AG93" s="5">
        <v>-1.5</v>
      </c>
      <c r="AH93" s="5">
        <v>1.5</v>
      </c>
      <c r="AI93" s="45">
        <v>0</v>
      </c>
      <c r="AJ93" s="45">
        <v>0</v>
      </c>
      <c r="AK93" s="45">
        <v>0</v>
      </c>
      <c r="AL93" s="23">
        <v>0</v>
      </c>
      <c r="AM93" s="23">
        <v>0</v>
      </c>
      <c r="AN93" s="23">
        <v>0</v>
      </c>
      <c r="AO93" s="23">
        <v>0</v>
      </c>
      <c r="AP93" s="23">
        <v>0</v>
      </c>
      <c r="AQ93" s="23">
        <v>0</v>
      </c>
      <c r="AR93" s="25">
        <v>0</v>
      </c>
      <c r="AS93" s="54">
        <v>0</v>
      </c>
      <c r="AT93" s="52">
        <v>0</v>
      </c>
      <c r="AU93" s="52">
        <v>0</v>
      </c>
      <c r="AV93" s="52">
        <v>0</v>
      </c>
      <c r="AW93" s="38">
        <v>0</v>
      </c>
      <c r="AX93" s="38">
        <v>0</v>
      </c>
      <c r="AY93" s="38">
        <v>0</v>
      </c>
      <c r="AZ93" s="38">
        <v>0</v>
      </c>
      <c r="BA93" s="38">
        <v>0</v>
      </c>
      <c r="BB93" s="38">
        <v>0</v>
      </c>
      <c r="BC93" s="38">
        <v>0</v>
      </c>
      <c r="BD93" s="38">
        <v>0</v>
      </c>
      <c r="BE93" s="38">
        <v>0</v>
      </c>
      <c r="BF93" s="38">
        <v>0</v>
      </c>
      <c r="BG93" s="40">
        <v>2</v>
      </c>
      <c r="BH93" s="40" t="s">
        <v>1416</v>
      </c>
      <c r="BI93" s="40">
        <v>0</v>
      </c>
    </row>
    <row r="94" spans="1:61" x14ac:dyDescent="0.25">
      <c r="A94" s="6">
        <v>92</v>
      </c>
      <c r="B94" s="6" t="s">
        <v>1357</v>
      </c>
      <c r="C94" s="6" t="s">
        <v>1357</v>
      </c>
      <c r="D94" s="6" t="s">
        <v>1326</v>
      </c>
      <c r="E94" s="6" t="s">
        <v>4</v>
      </c>
      <c r="F94" s="17">
        <v>44181.534918981481</v>
      </c>
      <c r="G94" s="21">
        <v>-6</v>
      </c>
      <c r="H94" s="4">
        <f t="shared" si="5"/>
        <v>44181.284918981481</v>
      </c>
      <c r="I94" s="3">
        <v>50</v>
      </c>
      <c r="J94" s="3">
        <v>12000</v>
      </c>
      <c r="K94" s="3">
        <f t="shared" si="6"/>
        <v>8.6042065009560222E-4</v>
      </c>
      <c r="L94" s="3">
        <v>149.30000000000001</v>
      </c>
      <c r="M94" s="3">
        <v>54</v>
      </c>
      <c r="N94" s="3" t="s">
        <v>1334</v>
      </c>
      <c r="O94" s="3">
        <v>46.357439999999997</v>
      </c>
      <c r="P94" s="3">
        <v>-91.513279999999995</v>
      </c>
      <c r="Q94" s="3">
        <v>1200</v>
      </c>
      <c r="R94" s="3">
        <v>42408</v>
      </c>
      <c r="S94" s="3">
        <v>6000</v>
      </c>
      <c r="T94" s="3">
        <v>54</v>
      </c>
      <c r="U94" s="3">
        <v>30000</v>
      </c>
      <c r="V94" s="3" t="s">
        <v>144</v>
      </c>
      <c r="W94" s="3" t="s">
        <v>382</v>
      </c>
      <c r="X94" s="3">
        <v>0</v>
      </c>
      <c r="Y94" s="3">
        <v>60000</v>
      </c>
      <c r="Z94" s="3">
        <v>60000</v>
      </c>
      <c r="AA94" s="5">
        <v>2000</v>
      </c>
      <c r="AB94" s="5">
        <v>2</v>
      </c>
      <c r="AC94" s="5">
        <v>10</v>
      </c>
      <c r="AD94" s="5">
        <v>5.0000000000000001E-3</v>
      </c>
      <c r="AE94" s="5">
        <v>5.0000000000000001E-3</v>
      </c>
      <c r="AF94" s="5">
        <v>1000</v>
      </c>
      <c r="AG94" s="5">
        <v>-1.5</v>
      </c>
      <c r="AH94" s="5">
        <v>1.5</v>
      </c>
      <c r="AI94" s="45">
        <v>0</v>
      </c>
      <c r="AJ94" s="45">
        <v>0</v>
      </c>
      <c r="AK94" s="45">
        <v>0</v>
      </c>
      <c r="AL94" s="23">
        <v>0</v>
      </c>
      <c r="AM94" s="23">
        <v>0</v>
      </c>
      <c r="AN94" s="23">
        <v>0</v>
      </c>
      <c r="AO94" s="23">
        <v>0</v>
      </c>
      <c r="AP94" s="23">
        <v>0</v>
      </c>
      <c r="AQ94" s="23">
        <v>0</v>
      </c>
      <c r="AR94" s="25">
        <v>0</v>
      </c>
      <c r="AS94" s="54">
        <v>0</v>
      </c>
      <c r="AT94" s="52">
        <v>0</v>
      </c>
      <c r="AU94" s="52">
        <v>0</v>
      </c>
      <c r="AV94" s="52">
        <v>0</v>
      </c>
      <c r="AW94" s="38">
        <v>0</v>
      </c>
      <c r="AX94" s="38">
        <v>0</v>
      </c>
      <c r="AY94" s="38">
        <v>0</v>
      </c>
      <c r="AZ94" s="38">
        <v>0</v>
      </c>
      <c r="BA94" s="38">
        <v>0</v>
      </c>
      <c r="BB94" s="38">
        <v>0</v>
      </c>
      <c r="BC94" s="38">
        <v>0</v>
      </c>
      <c r="BD94" s="38">
        <v>0</v>
      </c>
      <c r="BE94" s="38">
        <v>0</v>
      </c>
      <c r="BF94" s="38">
        <v>0</v>
      </c>
      <c r="BG94" s="40">
        <v>2</v>
      </c>
      <c r="BH94" s="40" t="s">
        <v>1416</v>
      </c>
      <c r="BI94" s="40">
        <v>0</v>
      </c>
    </row>
    <row r="95" spans="1:61" x14ac:dyDescent="0.25">
      <c r="A95" s="6">
        <v>93</v>
      </c>
      <c r="B95" s="6" t="s">
        <v>1358</v>
      </c>
      <c r="C95" s="6" t="s">
        <v>1359</v>
      </c>
      <c r="D95" s="6" t="s">
        <v>1358</v>
      </c>
      <c r="E95" s="6" t="s">
        <v>63</v>
      </c>
      <c r="F95" s="17">
        <v>44187.974687499998</v>
      </c>
      <c r="G95" s="21">
        <v>8</v>
      </c>
      <c r="H95" s="4">
        <f t="shared" si="5"/>
        <v>44188.308020833334</v>
      </c>
      <c r="I95" s="3">
        <v>422870</v>
      </c>
      <c r="J95" s="3">
        <v>13710</v>
      </c>
      <c r="K95" s="3">
        <f t="shared" si="6"/>
        <v>9.4986112532265761</v>
      </c>
      <c r="L95" s="3">
        <v>171.8</v>
      </c>
      <c r="M95" s="3">
        <v>85.1</v>
      </c>
      <c r="N95" s="3" t="s">
        <v>1334</v>
      </c>
      <c r="O95" s="3">
        <v>31.9</v>
      </c>
      <c r="P95" s="3">
        <v>96.2</v>
      </c>
      <c r="Q95" s="3">
        <v>35500</v>
      </c>
      <c r="R95" s="3">
        <v>35500</v>
      </c>
      <c r="S95" s="3">
        <v>6</v>
      </c>
      <c r="T95" s="3">
        <v>85.1</v>
      </c>
      <c r="U95" s="3">
        <v>30000</v>
      </c>
      <c r="V95" s="3" t="s">
        <v>144</v>
      </c>
      <c r="W95" s="3" t="s">
        <v>382</v>
      </c>
      <c r="X95" s="3">
        <v>0</v>
      </c>
      <c r="Y95" s="3">
        <v>40000</v>
      </c>
      <c r="Z95" s="3">
        <v>40000</v>
      </c>
      <c r="AA95" s="5">
        <v>1000</v>
      </c>
      <c r="AB95" s="5">
        <v>2</v>
      </c>
      <c r="AC95" s="5">
        <v>2</v>
      </c>
      <c r="AD95" s="5">
        <v>0.05</v>
      </c>
      <c r="AE95" s="5">
        <v>0.05</v>
      </c>
      <c r="AF95" s="5">
        <v>1000</v>
      </c>
      <c r="AG95" s="5">
        <v>-1.5</v>
      </c>
      <c r="AH95" s="5">
        <v>1.5</v>
      </c>
      <c r="AI95" s="45">
        <v>0</v>
      </c>
      <c r="AJ95" s="45">
        <v>0</v>
      </c>
      <c r="AK95" s="45">
        <v>0</v>
      </c>
      <c r="AL95" s="23">
        <v>0</v>
      </c>
      <c r="AM95" s="23">
        <v>0</v>
      </c>
      <c r="AN95" s="23">
        <v>0</v>
      </c>
      <c r="AO95" s="23">
        <v>0</v>
      </c>
      <c r="AP95" s="23">
        <v>0</v>
      </c>
      <c r="AQ95" s="23">
        <v>0</v>
      </c>
      <c r="AR95" s="25">
        <v>0</v>
      </c>
      <c r="AS95" s="54">
        <v>0</v>
      </c>
      <c r="AT95" s="52">
        <v>0</v>
      </c>
      <c r="AU95" s="52">
        <v>0</v>
      </c>
      <c r="AV95" s="52">
        <v>0</v>
      </c>
      <c r="AW95" s="38">
        <v>0</v>
      </c>
      <c r="AX95" s="38">
        <v>0</v>
      </c>
      <c r="AY95" s="38">
        <v>0</v>
      </c>
      <c r="AZ95" s="38">
        <v>0</v>
      </c>
      <c r="BA95" s="38">
        <v>0</v>
      </c>
      <c r="BB95" s="38">
        <v>0</v>
      </c>
      <c r="BC95" s="38">
        <v>0</v>
      </c>
      <c r="BD95" s="38">
        <v>0</v>
      </c>
      <c r="BE95" s="38">
        <v>0</v>
      </c>
      <c r="BF95" s="38">
        <v>0</v>
      </c>
      <c r="BG95" s="40">
        <v>2</v>
      </c>
      <c r="BH95" s="40" t="s">
        <v>1416</v>
      </c>
      <c r="BI95" s="40">
        <v>0</v>
      </c>
    </row>
    <row r="96" spans="1:61" x14ac:dyDescent="0.25">
      <c r="A96" s="6">
        <v>94</v>
      </c>
      <c r="B96" s="6" t="s">
        <v>1362</v>
      </c>
      <c r="C96" s="6" t="s">
        <v>1362</v>
      </c>
      <c r="D96" s="6" t="s">
        <v>1363</v>
      </c>
      <c r="E96" s="6" t="s">
        <v>4</v>
      </c>
      <c r="F96" s="17">
        <v>44252.095289351855</v>
      </c>
      <c r="G96" s="21">
        <v>-6</v>
      </c>
      <c r="H96" s="4">
        <f t="shared" si="5"/>
        <v>44251.845289351855</v>
      </c>
      <c r="I96" s="3">
        <v>50</v>
      </c>
      <c r="J96" s="3">
        <v>26300</v>
      </c>
      <c r="K96" s="3">
        <f t="shared" si="6"/>
        <v>4.1329469407265776E-3</v>
      </c>
      <c r="L96" s="3">
        <v>179.9</v>
      </c>
      <c r="M96" s="3">
        <v>75</v>
      </c>
      <c r="N96" s="3" t="s">
        <v>1334</v>
      </c>
      <c r="O96" s="3">
        <v>33.264729000000003</v>
      </c>
      <c r="P96" s="3">
        <v>-92.284068000000005</v>
      </c>
      <c r="Q96" s="3">
        <v>50000</v>
      </c>
      <c r="R96" s="3">
        <v>51000</v>
      </c>
      <c r="S96" s="3">
        <v>20000</v>
      </c>
      <c r="T96" s="3">
        <v>80</v>
      </c>
      <c r="U96" s="3">
        <v>50000</v>
      </c>
      <c r="V96" s="3" t="s">
        <v>144</v>
      </c>
      <c r="W96" s="3" t="s">
        <v>382</v>
      </c>
      <c r="X96" s="3">
        <v>0</v>
      </c>
      <c r="Y96" s="3">
        <v>60000</v>
      </c>
      <c r="Z96" s="3">
        <v>60000</v>
      </c>
      <c r="AA96" s="5">
        <v>400</v>
      </c>
      <c r="AB96" s="5">
        <v>2</v>
      </c>
      <c r="AC96" s="5">
        <v>5</v>
      </c>
      <c r="AD96" s="5">
        <v>0.02</v>
      </c>
      <c r="AE96" s="5">
        <v>0.03</v>
      </c>
      <c r="AF96" s="5">
        <v>5000</v>
      </c>
      <c r="AG96" s="5">
        <v>-1.5</v>
      </c>
      <c r="AH96" s="5">
        <v>1.5</v>
      </c>
      <c r="AI96" s="45">
        <v>0</v>
      </c>
      <c r="AJ96" s="45">
        <v>0</v>
      </c>
      <c r="AK96" s="45">
        <v>0</v>
      </c>
      <c r="AL96" s="23">
        <v>0</v>
      </c>
      <c r="AM96" s="23">
        <v>0</v>
      </c>
      <c r="AN96" s="23">
        <v>0</v>
      </c>
      <c r="AO96" s="23">
        <v>0</v>
      </c>
      <c r="AP96" s="23">
        <v>0</v>
      </c>
      <c r="AQ96" s="23">
        <v>0</v>
      </c>
      <c r="AR96" s="25">
        <v>0</v>
      </c>
      <c r="AS96" s="54">
        <v>0</v>
      </c>
      <c r="AT96" s="52">
        <v>0</v>
      </c>
      <c r="AU96" s="52">
        <v>0</v>
      </c>
      <c r="AV96" s="52">
        <v>0</v>
      </c>
      <c r="AW96" s="38">
        <v>0</v>
      </c>
      <c r="AX96" s="38">
        <v>0</v>
      </c>
      <c r="AY96" s="38">
        <v>0</v>
      </c>
      <c r="AZ96" s="38">
        <v>0</v>
      </c>
      <c r="BA96" s="38">
        <v>0</v>
      </c>
      <c r="BB96" s="38">
        <v>0</v>
      </c>
      <c r="BC96" s="38">
        <v>0</v>
      </c>
      <c r="BD96" s="38">
        <v>0</v>
      </c>
      <c r="BE96" s="38">
        <v>0</v>
      </c>
      <c r="BF96" s="38">
        <v>0</v>
      </c>
      <c r="BG96" s="40">
        <v>2</v>
      </c>
      <c r="BH96" s="40" t="s">
        <v>1416</v>
      </c>
      <c r="BI96" s="40">
        <v>0</v>
      </c>
    </row>
    <row r="97" spans="1:61" x14ac:dyDescent="0.25">
      <c r="A97" s="6">
        <v>95</v>
      </c>
      <c r="B97" s="6" t="s">
        <v>1365</v>
      </c>
      <c r="C97" s="6" t="s">
        <v>1364</v>
      </c>
      <c r="D97" s="6" t="s">
        <v>5</v>
      </c>
      <c r="E97" s="6" t="s">
        <v>4</v>
      </c>
      <c r="F97" s="17">
        <v>44254.129907407405</v>
      </c>
      <c r="G97" s="21">
        <v>-5</v>
      </c>
      <c r="H97" s="4">
        <f t="shared" si="5"/>
        <v>44253.921574074069</v>
      </c>
      <c r="I97" s="3">
        <v>10</v>
      </c>
      <c r="J97" s="3">
        <v>29400</v>
      </c>
      <c r="K97" s="3">
        <f t="shared" si="6"/>
        <v>1.0329349904397705E-3</v>
      </c>
      <c r="L97" s="3">
        <v>310.58999999999997</v>
      </c>
      <c r="M97" s="3">
        <v>54.19</v>
      </c>
      <c r="N97" s="3" t="s">
        <v>1334</v>
      </c>
      <c r="O97" s="3">
        <v>42.716000000000001</v>
      </c>
      <c r="P97" s="3">
        <v>-82.668000000000006</v>
      </c>
      <c r="Q97" s="3">
        <v>31700</v>
      </c>
      <c r="R97" s="3">
        <v>31700</v>
      </c>
      <c r="S97" s="3">
        <v>29400</v>
      </c>
      <c r="T97" s="3">
        <v>53.4786</v>
      </c>
      <c r="U97" s="3">
        <v>31700</v>
      </c>
      <c r="V97" s="3" t="s">
        <v>144</v>
      </c>
      <c r="W97" s="3" t="s">
        <v>382</v>
      </c>
      <c r="X97" s="3">
        <v>0</v>
      </c>
      <c r="Y97" s="3">
        <v>60000</v>
      </c>
      <c r="Z97" s="3">
        <v>60000</v>
      </c>
      <c r="AA97" s="5">
        <v>500</v>
      </c>
      <c r="AB97" s="5">
        <v>2.4</v>
      </c>
      <c r="AC97" s="5">
        <v>1.9</v>
      </c>
      <c r="AD97" s="5">
        <v>0.01</v>
      </c>
      <c r="AE97" s="5">
        <v>0.01</v>
      </c>
      <c r="AF97" s="5">
        <v>1000</v>
      </c>
      <c r="AG97" s="5">
        <v>-1.5</v>
      </c>
      <c r="AH97" s="5">
        <v>1.5</v>
      </c>
      <c r="AI97" s="45">
        <v>0</v>
      </c>
      <c r="AJ97" s="45">
        <v>0</v>
      </c>
      <c r="AK97" s="45">
        <v>0</v>
      </c>
      <c r="AL97" s="23">
        <v>0</v>
      </c>
      <c r="AM97" s="23">
        <v>0</v>
      </c>
      <c r="AN97" s="23">
        <v>0</v>
      </c>
      <c r="AO97" s="23">
        <v>0</v>
      </c>
      <c r="AP97" s="23">
        <v>0</v>
      </c>
      <c r="AQ97" s="23">
        <v>0</v>
      </c>
      <c r="AR97" s="25">
        <v>0</v>
      </c>
      <c r="AS97" s="54">
        <v>0</v>
      </c>
      <c r="AT97" s="52">
        <v>0</v>
      </c>
      <c r="AU97" s="52">
        <v>0</v>
      </c>
      <c r="AV97" s="52">
        <v>0</v>
      </c>
      <c r="AW97" s="38">
        <v>0</v>
      </c>
      <c r="AX97" s="38">
        <v>0</v>
      </c>
      <c r="AY97" s="38">
        <v>0</v>
      </c>
      <c r="AZ97" s="38">
        <v>0</v>
      </c>
      <c r="BA97" s="38">
        <v>0</v>
      </c>
      <c r="BB97" s="38">
        <v>0</v>
      </c>
      <c r="BC97" s="38">
        <v>0</v>
      </c>
      <c r="BD97" s="38">
        <v>0</v>
      </c>
      <c r="BE97" s="38">
        <v>0</v>
      </c>
      <c r="BF97" s="38">
        <v>0</v>
      </c>
      <c r="BG97" s="40">
        <v>2</v>
      </c>
      <c r="BH97" s="40" t="s">
        <v>1416</v>
      </c>
      <c r="BI97" s="40">
        <v>0</v>
      </c>
    </row>
    <row r="98" spans="1:61" x14ac:dyDescent="0.25">
      <c r="A98" s="6">
        <v>95</v>
      </c>
      <c r="B98" s="6" t="s">
        <v>1366</v>
      </c>
      <c r="C98" s="6" t="s">
        <v>1364</v>
      </c>
      <c r="D98" s="6" t="s">
        <v>5</v>
      </c>
      <c r="E98" s="6" t="s">
        <v>4</v>
      </c>
      <c r="F98" s="17">
        <v>44254.129907407405</v>
      </c>
      <c r="G98" s="21">
        <v>-5</v>
      </c>
      <c r="H98" s="4">
        <f t="shared" si="5"/>
        <v>44253.921574074069</v>
      </c>
      <c r="I98" s="3">
        <v>0.1</v>
      </c>
      <c r="J98" s="3">
        <v>50</v>
      </c>
      <c r="K98" s="3">
        <f t="shared" si="6"/>
        <v>2.9875717017208414E-11</v>
      </c>
      <c r="L98" s="3">
        <v>310.58999999999997</v>
      </c>
      <c r="M98" s="3">
        <v>0</v>
      </c>
      <c r="N98" s="3" t="s">
        <v>1334</v>
      </c>
      <c r="O98" s="3">
        <v>42.817433000000001</v>
      </c>
      <c r="P98" s="3">
        <v>-82.645071000000002</v>
      </c>
      <c r="Q98" s="3">
        <v>1350</v>
      </c>
      <c r="R98" s="3">
        <v>1350</v>
      </c>
      <c r="S98" s="3">
        <v>50</v>
      </c>
      <c r="T98" s="3">
        <v>0</v>
      </c>
      <c r="U98" s="3">
        <v>1100</v>
      </c>
      <c r="V98" s="3" t="s">
        <v>144</v>
      </c>
      <c r="W98" s="3" t="s">
        <v>382</v>
      </c>
      <c r="X98" s="3">
        <v>0</v>
      </c>
      <c r="Y98" s="3">
        <v>1600</v>
      </c>
      <c r="Z98" s="3">
        <v>1600</v>
      </c>
      <c r="AA98" s="5">
        <v>30</v>
      </c>
      <c r="AB98" s="5">
        <v>2</v>
      </c>
      <c r="AC98" s="5">
        <v>1</v>
      </c>
      <c r="AD98" s="5">
        <v>1.0999999999999999E-2</v>
      </c>
      <c r="AE98" s="5">
        <v>6.4000000000000003E-3</v>
      </c>
      <c r="AF98" s="5">
        <v>400</v>
      </c>
      <c r="AG98" s="5">
        <v>-1</v>
      </c>
      <c r="AH98" s="5">
        <v>1</v>
      </c>
      <c r="AI98" s="45">
        <v>0</v>
      </c>
      <c r="AJ98" s="45">
        <v>0</v>
      </c>
      <c r="AK98" s="45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5">
        <v>0</v>
      </c>
      <c r="AS98" s="54">
        <v>0</v>
      </c>
      <c r="AT98" s="52">
        <v>0</v>
      </c>
      <c r="AU98" s="52">
        <v>0</v>
      </c>
      <c r="AV98" s="52">
        <v>0</v>
      </c>
      <c r="AW98" s="38">
        <v>0</v>
      </c>
      <c r="AX98" s="38">
        <v>0</v>
      </c>
      <c r="AY98" s="38">
        <v>0</v>
      </c>
      <c r="AZ98" s="38">
        <v>0</v>
      </c>
      <c r="BA98" s="38">
        <v>0</v>
      </c>
      <c r="BB98" s="38">
        <v>0</v>
      </c>
      <c r="BC98" s="38">
        <v>0</v>
      </c>
      <c r="BD98" s="38">
        <v>0</v>
      </c>
      <c r="BE98" s="38">
        <v>0</v>
      </c>
      <c r="BF98" s="38">
        <v>0</v>
      </c>
      <c r="BG98" s="40">
        <v>2</v>
      </c>
      <c r="BH98" s="40" t="s">
        <v>1416</v>
      </c>
      <c r="BI98" s="40">
        <v>0</v>
      </c>
    </row>
    <row r="99" spans="1:61" x14ac:dyDescent="0.25">
      <c r="A99" s="6">
        <v>97</v>
      </c>
      <c r="B99" s="6" t="s">
        <v>1369</v>
      </c>
      <c r="C99" s="6" t="s">
        <v>1367</v>
      </c>
      <c r="D99" s="6" t="s">
        <v>1368</v>
      </c>
      <c r="E99" s="6" t="s">
        <v>103</v>
      </c>
      <c r="F99" s="17">
        <v>44236.977418981478</v>
      </c>
      <c r="G99" s="21">
        <v>-6</v>
      </c>
      <c r="H99" s="4">
        <f t="shared" si="5"/>
        <v>44236.727418981478</v>
      </c>
      <c r="I99" s="3">
        <v>4842</v>
      </c>
      <c r="J99" s="3">
        <v>13150</v>
      </c>
      <c r="K99" s="3">
        <f t="shared" si="6"/>
        <v>0.10005864543499043</v>
      </c>
      <c r="L99" s="3">
        <v>301.2</v>
      </c>
      <c r="M99" s="3">
        <v>29.3</v>
      </c>
      <c r="N99" s="3" t="s">
        <v>1334</v>
      </c>
      <c r="O99" s="3">
        <v>75.8</v>
      </c>
      <c r="P99" s="3">
        <v>-92.8</v>
      </c>
      <c r="Q99" s="3">
        <v>31000</v>
      </c>
      <c r="R99" s="3">
        <v>31000</v>
      </c>
      <c r="S99" s="3">
        <v>13150</v>
      </c>
      <c r="T99" s="3">
        <v>29.3</v>
      </c>
      <c r="U99" s="3">
        <v>15000</v>
      </c>
      <c r="V99" s="3" t="s">
        <v>144</v>
      </c>
      <c r="W99" s="3" t="s">
        <v>382</v>
      </c>
      <c r="X99" s="3">
        <v>0</v>
      </c>
      <c r="Y99" s="3">
        <v>60000</v>
      </c>
      <c r="Z99" s="3">
        <v>60000</v>
      </c>
      <c r="AA99" s="5">
        <v>700</v>
      </c>
      <c r="AB99" s="5">
        <v>2</v>
      </c>
      <c r="AC99" s="5">
        <v>2</v>
      </c>
      <c r="AD99" s="5">
        <v>0.05</v>
      </c>
      <c r="AE99" s="5">
        <v>0.05</v>
      </c>
      <c r="AF99" s="5">
        <v>1000</v>
      </c>
      <c r="AG99" s="5">
        <v>-1.5</v>
      </c>
      <c r="AH99" s="5">
        <v>1.5</v>
      </c>
      <c r="AI99" s="45">
        <v>0</v>
      </c>
      <c r="AJ99" s="45">
        <v>0</v>
      </c>
      <c r="AK99" s="45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5">
        <v>0</v>
      </c>
      <c r="AS99" s="54">
        <v>0</v>
      </c>
      <c r="AT99" s="52">
        <v>0</v>
      </c>
      <c r="AU99" s="52">
        <v>0</v>
      </c>
      <c r="AV99" s="52">
        <v>0</v>
      </c>
      <c r="AW99" s="38">
        <v>0</v>
      </c>
      <c r="AX99" s="38">
        <v>0</v>
      </c>
      <c r="AY99" s="38">
        <v>0</v>
      </c>
      <c r="AZ99" s="38">
        <v>0</v>
      </c>
      <c r="BA99" s="38">
        <v>0</v>
      </c>
      <c r="BB99" s="38">
        <v>0</v>
      </c>
      <c r="BC99" s="38">
        <v>0</v>
      </c>
      <c r="BD99" s="38">
        <v>0</v>
      </c>
      <c r="BE99" s="38">
        <v>0</v>
      </c>
      <c r="BF99" s="38">
        <v>0</v>
      </c>
      <c r="BG99" s="40">
        <v>2</v>
      </c>
      <c r="BH99" s="40" t="s">
        <v>1416</v>
      </c>
      <c r="BI99" s="40">
        <v>0</v>
      </c>
    </row>
    <row r="100" spans="1:61" x14ac:dyDescent="0.25">
      <c r="A100" s="6">
        <v>98</v>
      </c>
      <c r="B100" s="6" t="s">
        <v>1372</v>
      </c>
      <c r="C100" s="6" t="s">
        <v>1372</v>
      </c>
      <c r="D100" s="6" t="s">
        <v>1370</v>
      </c>
      <c r="E100" s="6" t="s">
        <v>1371</v>
      </c>
      <c r="F100" s="17">
        <v>44255.91269675926</v>
      </c>
      <c r="G100" s="21">
        <v>0</v>
      </c>
      <c r="H100" s="4">
        <f t="shared" si="5"/>
        <v>44255.91269675926</v>
      </c>
      <c r="I100" s="3">
        <v>5</v>
      </c>
      <c r="J100" s="3">
        <v>10600</v>
      </c>
      <c r="K100" s="3">
        <f t="shared" si="6"/>
        <v>6.7136711281070733E-5</v>
      </c>
      <c r="L100" s="3">
        <v>83.5</v>
      </c>
      <c r="M100" s="3">
        <v>60</v>
      </c>
      <c r="N100" s="3" t="s">
        <v>1334</v>
      </c>
      <c r="O100" s="3">
        <v>51.945</v>
      </c>
      <c r="P100" s="3">
        <v>-2.1309999999999998</v>
      </c>
      <c r="Q100" s="3">
        <v>29500</v>
      </c>
      <c r="R100" s="3">
        <v>29000</v>
      </c>
      <c r="S100" s="3">
        <v>6000</v>
      </c>
      <c r="T100" s="3">
        <v>60</v>
      </c>
      <c r="U100" s="3">
        <v>29000</v>
      </c>
      <c r="V100" s="3" t="s">
        <v>111</v>
      </c>
      <c r="W100" s="3" t="s">
        <v>382</v>
      </c>
      <c r="X100" s="3">
        <v>0</v>
      </c>
      <c r="Y100" s="3">
        <v>60000</v>
      </c>
      <c r="Z100" s="3">
        <v>60000</v>
      </c>
      <c r="AA100" s="5">
        <v>1000</v>
      </c>
      <c r="AB100" s="5">
        <v>2</v>
      </c>
      <c r="AC100" s="5">
        <v>5</v>
      </c>
      <c r="AD100" s="5">
        <v>7.0000000000000001E-3</v>
      </c>
      <c r="AE100" s="5">
        <v>8.0000000000000002E-3</v>
      </c>
      <c r="AF100" s="5">
        <v>1500</v>
      </c>
      <c r="AG100" s="5">
        <v>-1.5</v>
      </c>
      <c r="AH100" s="5">
        <v>1.5</v>
      </c>
      <c r="AI100" s="45">
        <v>0</v>
      </c>
      <c r="AJ100" s="45">
        <v>0</v>
      </c>
      <c r="AK100" s="45">
        <v>0</v>
      </c>
      <c r="AL100" s="23">
        <v>0</v>
      </c>
      <c r="AM100" s="23">
        <v>1</v>
      </c>
      <c r="AN100" s="23">
        <v>0.3</v>
      </c>
      <c r="AO100" s="23">
        <v>300</v>
      </c>
      <c r="AP100" s="23">
        <v>0</v>
      </c>
      <c r="AQ100" s="23">
        <v>0</v>
      </c>
      <c r="AR100" s="25">
        <v>0</v>
      </c>
      <c r="AS100" s="54">
        <v>0</v>
      </c>
      <c r="AT100" s="52">
        <v>0</v>
      </c>
      <c r="AU100" s="52">
        <v>0</v>
      </c>
      <c r="AV100" s="52">
        <v>0</v>
      </c>
      <c r="AW100" s="38">
        <v>0</v>
      </c>
      <c r="AX100" s="38">
        <v>0</v>
      </c>
      <c r="AY100" s="38">
        <v>0</v>
      </c>
      <c r="AZ100" s="38">
        <v>0</v>
      </c>
      <c r="BA100" s="38">
        <v>0</v>
      </c>
      <c r="BB100" s="38">
        <v>0</v>
      </c>
      <c r="BC100" s="38">
        <v>0</v>
      </c>
      <c r="BD100" s="38">
        <v>0</v>
      </c>
      <c r="BE100" s="38">
        <v>0</v>
      </c>
      <c r="BF100" s="38">
        <v>0</v>
      </c>
      <c r="BG100" s="40">
        <v>3</v>
      </c>
      <c r="BH100" s="40" t="s">
        <v>1416</v>
      </c>
      <c r="BI100" s="40">
        <v>1</v>
      </c>
    </row>
    <row r="101" spans="1:61" x14ac:dyDescent="0.25">
      <c r="A101" s="6">
        <v>99</v>
      </c>
      <c r="B101" s="6" t="s">
        <v>1373</v>
      </c>
      <c r="C101" s="6" t="s">
        <v>1374</v>
      </c>
      <c r="D101" s="6" t="s">
        <v>1373</v>
      </c>
      <c r="E101" s="6" t="s">
        <v>433</v>
      </c>
      <c r="F101" s="17">
        <v>44260.57640046296</v>
      </c>
      <c r="G101" s="21">
        <v>13</v>
      </c>
      <c r="H101" s="4">
        <f t="shared" si="5"/>
        <v>44261.118067129624</v>
      </c>
      <c r="I101" s="3">
        <v>2010</v>
      </c>
      <c r="J101" s="3">
        <v>23260</v>
      </c>
      <c r="K101" s="3">
        <f t="shared" si="6"/>
        <v>0.12995524330783939</v>
      </c>
      <c r="L101" s="3">
        <v>178.9</v>
      </c>
      <c r="M101" s="3">
        <v>25.5</v>
      </c>
      <c r="N101" s="3" t="s">
        <v>1334</v>
      </c>
      <c r="O101" s="3">
        <v>-81.099999999999994</v>
      </c>
      <c r="P101" s="3">
        <v>141.1</v>
      </c>
      <c r="Q101" s="3">
        <v>32500</v>
      </c>
      <c r="R101" s="3">
        <v>32500</v>
      </c>
      <c r="S101" s="3">
        <v>6000</v>
      </c>
      <c r="T101" s="3">
        <v>25.5</v>
      </c>
      <c r="U101" s="3">
        <v>30000</v>
      </c>
      <c r="V101" s="3" t="s">
        <v>144</v>
      </c>
      <c r="W101" s="3" t="s">
        <v>382</v>
      </c>
      <c r="X101" s="3">
        <v>0</v>
      </c>
      <c r="Y101" s="3">
        <v>60000</v>
      </c>
      <c r="Z101" s="3">
        <v>60000</v>
      </c>
      <c r="AA101" s="5">
        <v>1000</v>
      </c>
      <c r="AB101" s="5">
        <v>2</v>
      </c>
      <c r="AC101" s="5">
        <v>2</v>
      </c>
      <c r="AD101" s="5">
        <v>0.05</v>
      </c>
      <c r="AE101" s="5">
        <v>0.05</v>
      </c>
      <c r="AF101" s="5">
        <v>1000</v>
      </c>
      <c r="AG101" s="5">
        <v>-1.5</v>
      </c>
      <c r="AH101" s="5">
        <v>1.5</v>
      </c>
      <c r="AI101" s="45">
        <v>0</v>
      </c>
      <c r="AJ101" s="45">
        <v>0</v>
      </c>
      <c r="AK101" s="45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5">
        <v>0</v>
      </c>
      <c r="AS101" s="54">
        <v>0</v>
      </c>
      <c r="AT101" s="52">
        <v>0</v>
      </c>
      <c r="AU101" s="52">
        <v>0</v>
      </c>
      <c r="AV101" s="52">
        <v>0</v>
      </c>
      <c r="AW101" s="38">
        <v>0</v>
      </c>
      <c r="AX101" s="38">
        <v>0</v>
      </c>
      <c r="AY101" s="38">
        <v>0</v>
      </c>
      <c r="AZ101" s="38">
        <v>0</v>
      </c>
      <c r="BA101" s="38">
        <v>0</v>
      </c>
      <c r="BB101" s="38">
        <v>0</v>
      </c>
      <c r="BC101" s="38">
        <v>0</v>
      </c>
      <c r="BD101" s="38">
        <v>0</v>
      </c>
      <c r="BE101" s="38">
        <v>0</v>
      </c>
      <c r="BF101" s="38">
        <v>0</v>
      </c>
      <c r="BG101" s="40">
        <v>2</v>
      </c>
      <c r="BH101" s="40" t="s">
        <v>1416</v>
      </c>
      <c r="BI101" s="40">
        <v>0</v>
      </c>
    </row>
    <row r="102" spans="1:61" x14ac:dyDescent="0.25">
      <c r="A102" s="6">
        <v>100</v>
      </c>
      <c r="B102" s="6" t="s">
        <v>1375</v>
      </c>
      <c r="C102" s="6" t="s">
        <v>1376</v>
      </c>
      <c r="D102" s="6" t="s">
        <v>1375</v>
      </c>
      <c r="E102" s="6" t="s">
        <v>746</v>
      </c>
      <c r="F102" s="17">
        <v>44229.418993055559</v>
      </c>
      <c r="G102" s="21">
        <v>5</v>
      </c>
      <c r="H102" s="4">
        <f t="shared" si="5"/>
        <v>44229.627326388894</v>
      </c>
      <c r="I102" s="3">
        <v>5651</v>
      </c>
      <c r="J102" s="3">
        <v>12760</v>
      </c>
      <c r="K102" s="3">
        <f t="shared" si="6"/>
        <v>0.10995246864244741</v>
      </c>
      <c r="L102" s="3">
        <v>246.4</v>
      </c>
      <c r="M102" s="3">
        <v>25.8</v>
      </c>
      <c r="N102" s="3" t="s">
        <v>1334</v>
      </c>
      <c r="O102" s="3">
        <v>48.7</v>
      </c>
      <c r="P102" s="3">
        <v>80.099999999999994</v>
      </c>
      <c r="Q102" s="3">
        <v>20000</v>
      </c>
      <c r="R102" s="3">
        <v>20000</v>
      </c>
      <c r="S102" s="3">
        <v>6000</v>
      </c>
      <c r="T102" s="3">
        <v>25.8</v>
      </c>
      <c r="U102" s="3">
        <v>15000</v>
      </c>
      <c r="V102" s="3" t="s">
        <v>144</v>
      </c>
      <c r="W102" s="3" t="s">
        <v>382</v>
      </c>
      <c r="X102" s="3">
        <v>0</v>
      </c>
      <c r="Y102" s="3">
        <v>60000</v>
      </c>
      <c r="Z102" s="3">
        <v>60000</v>
      </c>
      <c r="AA102" s="5">
        <v>1000</v>
      </c>
      <c r="AB102" s="5">
        <v>2</v>
      </c>
      <c r="AC102" s="5">
        <v>2</v>
      </c>
      <c r="AD102" s="5">
        <v>0.05</v>
      </c>
      <c r="AE102" s="5">
        <v>0.05</v>
      </c>
      <c r="AF102" s="5">
        <v>1000</v>
      </c>
      <c r="AG102" s="5">
        <v>-1.5</v>
      </c>
      <c r="AH102" s="5">
        <v>1.5</v>
      </c>
      <c r="AI102" s="45">
        <v>0</v>
      </c>
      <c r="AJ102" s="45">
        <v>0</v>
      </c>
      <c r="AK102" s="45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5">
        <v>0</v>
      </c>
      <c r="AS102" s="54">
        <v>0</v>
      </c>
      <c r="AT102" s="52">
        <v>0</v>
      </c>
      <c r="AU102" s="52">
        <v>0</v>
      </c>
      <c r="AV102" s="52">
        <v>0</v>
      </c>
      <c r="AW102" s="38">
        <v>0</v>
      </c>
      <c r="AX102" s="38">
        <v>0</v>
      </c>
      <c r="AY102" s="38">
        <v>0</v>
      </c>
      <c r="AZ102" s="38">
        <v>0</v>
      </c>
      <c r="BA102" s="38">
        <v>0</v>
      </c>
      <c r="BB102" s="38">
        <v>0</v>
      </c>
      <c r="BC102" s="38">
        <v>0</v>
      </c>
      <c r="BD102" s="38">
        <v>0</v>
      </c>
      <c r="BE102" s="38">
        <v>0</v>
      </c>
      <c r="BF102" s="38">
        <v>0</v>
      </c>
      <c r="BG102" s="40">
        <v>3</v>
      </c>
      <c r="BH102" s="40" t="s">
        <v>1416</v>
      </c>
      <c r="BI102" s="40">
        <v>0</v>
      </c>
    </row>
    <row r="103" spans="1:61" x14ac:dyDescent="0.25">
      <c r="A103" s="6">
        <v>101</v>
      </c>
      <c r="B103" s="6" t="s">
        <v>1382</v>
      </c>
      <c r="C103" s="6" t="s">
        <v>1382</v>
      </c>
      <c r="D103" s="6" t="s">
        <v>1353</v>
      </c>
      <c r="E103" s="6" t="s">
        <v>1040</v>
      </c>
      <c r="F103" s="17">
        <v>44271.756793981483</v>
      </c>
      <c r="G103" s="21">
        <v>1</v>
      </c>
      <c r="H103" s="4">
        <f t="shared" si="5"/>
        <v>44271.798460648148</v>
      </c>
      <c r="I103" s="3">
        <v>50</v>
      </c>
      <c r="J103" s="3">
        <v>12900</v>
      </c>
      <c r="K103" s="3">
        <f t="shared" si="6"/>
        <v>9.9432361376673023E-4</v>
      </c>
      <c r="L103" s="3">
        <v>141.27000000000001</v>
      </c>
      <c r="M103" s="3">
        <v>64.069999999999993</v>
      </c>
      <c r="N103" s="3" t="s">
        <v>1334</v>
      </c>
      <c r="O103" s="3">
        <v>60.41</v>
      </c>
      <c r="P103" s="3">
        <v>18.088000000000001</v>
      </c>
      <c r="Q103" s="3">
        <v>29900</v>
      </c>
      <c r="R103" s="3">
        <v>29900</v>
      </c>
      <c r="S103" s="3">
        <v>6000</v>
      </c>
      <c r="T103" s="3">
        <f>M103</f>
        <v>64.069999999999993</v>
      </c>
      <c r="U103" s="3">
        <v>29000</v>
      </c>
      <c r="V103" s="3" t="s">
        <v>144</v>
      </c>
      <c r="W103" s="3" t="s">
        <v>382</v>
      </c>
      <c r="X103" s="3">
        <v>0</v>
      </c>
      <c r="Y103" s="3">
        <v>60000</v>
      </c>
      <c r="Z103" s="3">
        <v>60000</v>
      </c>
      <c r="AA103" s="5">
        <v>1000</v>
      </c>
      <c r="AB103" s="5">
        <v>1.1000000000000001</v>
      </c>
      <c r="AC103" s="5">
        <v>2.5</v>
      </c>
      <c r="AD103" s="5">
        <v>5.0000000000000001E-3</v>
      </c>
      <c r="AE103" s="5">
        <v>5.0000000000000001E-3</v>
      </c>
      <c r="AF103" s="5">
        <v>1000</v>
      </c>
      <c r="AG103" s="5">
        <v>-1.5</v>
      </c>
      <c r="AH103" s="5">
        <v>1.5</v>
      </c>
      <c r="AI103" s="45">
        <v>0</v>
      </c>
      <c r="AJ103" s="45">
        <v>0</v>
      </c>
      <c r="AK103" s="45">
        <v>0</v>
      </c>
      <c r="AL103" s="23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5">
        <v>0</v>
      </c>
      <c r="AS103" s="54">
        <v>0</v>
      </c>
      <c r="AT103" s="52">
        <v>0</v>
      </c>
      <c r="AU103" s="52">
        <v>0</v>
      </c>
      <c r="AV103" s="52">
        <v>0</v>
      </c>
      <c r="AW103" s="38">
        <v>0</v>
      </c>
      <c r="AX103" s="38">
        <v>0</v>
      </c>
      <c r="AY103" s="38">
        <v>0</v>
      </c>
      <c r="AZ103" s="38">
        <v>0</v>
      </c>
      <c r="BA103" s="38">
        <v>0</v>
      </c>
      <c r="BB103" s="38">
        <v>0</v>
      </c>
      <c r="BC103" s="38">
        <v>0</v>
      </c>
      <c r="BD103" s="38">
        <v>0</v>
      </c>
      <c r="BE103" s="38">
        <v>0</v>
      </c>
      <c r="BF103" s="38">
        <v>0</v>
      </c>
      <c r="BG103" s="40">
        <v>3</v>
      </c>
      <c r="BH103" s="40" t="s">
        <v>1416</v>
      </c>
      <c r="BI103" s="40">
        <v>0</v>
      </c>
    </row>
    <row r="104" spans="1:61" x14ac:dyDescent="0.25">
      <c r="A104" s="6">
        <v>102</v>
      </c>
      <c r="B104" s="6" t="s">
        <v>1381</v>
      </c>
      <c r="C104" s="6" t="s">
        <v>1381</v>
      </c>
      <c r="D104" s="6" t="s">
        <v>1383</v>
      </c>
      <c r="E104" s="6" t="s">
        <v>731</v>
      </c>
      <c r="F104" s="17">
        <v>44270.331250000003</v>
      </c>
      <c r="G104" s="21">
        <v>1</v>
      </c>
      <c r="H104" s="4">
        <f t="shared" si="5"/>
        <v>44270.372916666667</v>
      </c>
      <c r="I104" s="3">
        <v>10</v>
      </c>
      <c r="J104" s="3">
        <v>14000</v>
      </c>
      <c r="K104" s="3">
        <f t="shared" si="6"/>
        <v>2.3422562141491395E-4</v>
      </c>
      <c r="L104" s="3">
        <v>0</v>
      </c>
      <c r="M104" s="3">
        <v>6</v>
      </c>
      <c r="N104" s="3" t="s">
        <v>1334</v>
      </c>
      <c r="O104" s="3">
        <v>41.604999999999997</v>
      </c>
      <c r="P104" s="3">
        <v>14.185</v>
      </c>
      <c r="Q104" s="3">
        <v>19800</v>
      </c>
      <c r="R104" s="3">
        <v>19800</v>
      </c>
      <c r="S104" s="3">
        <v>4000</v>
      </c>
      <c r="T104" s="3">
        <v>6</v>
      </c>
      <c r="U104" s="3">
        <v>19500</v>
      </c>
      <c r="V104" s="3" t="s">
        <v>144</v>
      </c>
      <c r="W104" s="3" t="s">
        <v>382</v>
      </c>
      <c r="X104" s="3">
        <v>0</v>
      </c>
      <c r="Y104" s="3">
        <v>60000</v>
      </c>
      <c r="Z104" s="3">
        <v>60000</v>
      </c>
      <c r="AA104" s="5">
        <v>1000</v>
      </c>
      <c r="AB104" s="5">
        <v>2</v>
      </c>
      <c r="AC104" s="5">
        <v>1</v>
      </c>
      <c r="AD104" s="5">
        <v>5.0000000000000001E-3</v>
      </c>
      <c r="AE104" s="5">
        <v>5.0000000000000001E-3</v>
      </c>
      <c r="AF104" s="5">
        <v>1000</v>
      </c>
      <c r="AG104" s="5">
        <v>-1.5</v>
      </c>
      <c r="AH104" s="5">
        <v>1.5</v>
      </c>
      <c r="AI104" s="45">
        <v>0</v>
      </c>
      <c r="AJ104" s="45">
        <v>0</v>
      </c>
      <c r="AK104" s="45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5">
        <v>0</v>
      </c>
      <c r="AS104" s="54">
        <v>0</v>
      </c>
      <c r="AT104" s="52">
        <v>0</v>
      </c>
      <c r="AU104" s="52">
        <v>0</v>
      </c>
      <c r="AV104" s="52">
        <v>0</v>
      </c>
      <c r="AW104" s="38">
        <v>0</v>
      </c>
      <c r="AX104" s="38">
        <v>0</v>
      </c>
      <c r="AY104" s="38">
        <v>0</v>
      </c>
      <c r="AZ104" s="38">
        <v>0</v>
      </c>
      <c r="BA104" s="38">
        <v>0</v>
      </c>
      <c r="BB104" s="38">
        <v>0</v>
      </c>
      <c r="BC104" s="38">
        <v>0</v>
      </c>
      <c r="BD104" s="38">
        <v>0</v>
      </c>
      <c r="BE104" s="38">
        <v>0</v>
      </c>
      <c r="BF104" s="38">
        <v>0</v>
      </c>
      <c r="BG104" s="40">
        <v>3</v>
      </c>
      <c r="BH104" s="40" t="s">
        <v>1416</v>
      </c>
      <c r="BI104" s="40">
        <v>0</v>
      </c>
    </row>
    <row r="105" spans="1:61" x14ac:dyDescent="0.25">
      <c r="A105" s="6">
        <v>103</v>
      </c>
      <c r="B105" s="6" t="s">
        <v>1391</v>
      </c>
      <c r="C105" s="6" t="s">
        <v>1384</v>
      </c>
      <c r="D105" s="6" t="s">
        <v>1385</v>
      </c>
      <c r="E105" s="6" t="s">
        <v>4</v>
      </c>
      <c r="F105" s="17">
        <v>40245.418136574073</v>
      </c>
      <c r="G105" s="21">
        <v>-4</v>
      </c>
      <c r="H105" s="4">
        <f t="shared" si="5"/>
        <v>40245.251469907409</v>
      </c>
      <c r="I105" s="3">
        <v>11849</v>
      </c>
      <c r="J105" s="3">
        <v>24501</v>
      </c>
      <c r="K105" s="3">
        <f t="shared" si="6"/>
        <v>0.85001707252019587</v>
      </c>
      <c r="L105" s="3">
        <v>50.24</v>
      </c>
      <c r="M105" s="3">
        <v>79.498000000000005</v>
      </c>
      <c r="N105" s="3" t="s">
        <v>1270</v>
      </c>
      <c r="O105" s="3">
        <v>32</v>
      </c>
      <c r="P105" s="3">
        <v>-92.9</v>
      </c>
      <c r="Q105" s="3">
        <v>52000</v>
      </c>
      <c r="R105" s="3">
        <v>52000</v>
      </c>
      <c r="S105" s="3">
        <v>10000</v>
      </c>
      <c r="T105" s="3">
        <v>79.498000000000005</v>
      </c>
      <c r="U105" s="3">
        <v>40000</v>
      </c>
      <c r="V105" s="3" t="s">
        <v>144</v>
      </c>
      <c r="W105" s="3" t="s">
        <v>382</v>
      </c>
      <c r="X105" s="3">
        <v>0</v>
      </c>
      <c r="Y105" s="3">
        <v>60000</v>
      </c>
      <c r="Z105" s="3">
        <v>60000</v>
      </c>
      <c r="AA105" s="5">
        <v>1000</v>
      </c>
      <c r="AB105" s="5">
        <v>2</v>
      </c>
      <c r="AC105" s="5">
        <v>2</v>
      </c>
      <c r="AD105" s="5">
        <v>0.05</v>
      </c>
      <c r="AE105" s="5">
        <v>0.05</v>
      </c>
      <c r="AF105" s="5">
        <v>1000</v>
      </c>
      <c r="AG105" s="5">
        <v>-1.5</v>
      </c>
      <c r="AH105" s="5">
        <v>1.5</v>
      </c>
      <c r="AI105" s="45">
        <v>0</v>
      </c>
      <c r="AJ105" s="45">
        <v>0</v>
      </c>
      <c r="AK105" s="45">
        <v>0</v>
      </c>
      <c r="AL105" s="23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5">
        <v>0</v>
      </c>
      <c r="AS105" s="54">
        <v>0</v>
      </c>
      <c r="AT105" s="52">
        <v>0</v>
      </c>
      <c r="AU105" s="52">
        <v>0</v>
      </c>
      <c r="AV105" s="52">
        <v>0</v>
      </c>
      <c r="AW105" s="38">
        <v>0</v>
      </c>
      <c r="AX105" s="38">
        <v>0</v>
      </c>
      <c r="AY105" s="38">
        <v>0</v>
      </c>
      <c r="AZ105" s="38">
        <v>0</v>
      </c>
      <c r="BA105" s="38">
        <v>0</v>
      </c>
      <c r="BB105" s="38">
        <v>0</v>
      </c>
      <c r="BC105" s="38">
        <v>0</v>
      </c>
      <c r="BD105" s="38">
        <v>0</v>
      </c>
      <c r="BE105" s="38">
        <v>0</v>
      </c>
      <c r="BF105" s="38">
        <v>0</v>
      </c>
      <c r="BG105" s="40">
        <v>2</v>
      </c>
      <c r="BH105" s="40" t="s">
        <v>1416</v>
      </c>
      <c r="BI105" s="40">
        <v>1</v>
      </c>
    </row>
    <row r="106" spans="1:61" x14ac:dyDescent="0.25">
      <c r="A106" s="6">
        <v>104</v>
      </c>
      <c r="B106" s="6" t="s">
        <v>1386</v>
      </c>
      <c r="C106" s="6" t="s">
        <v>1386</v>
      </c>
      <c r="D106" s="6" t="s">
        <v>1390</v>
      </c>
      <c r="E106" s="6" t="s">
        <v>4</v>
      </c>
      <c r="F106" s="17">
        <v>42966.205266203702</v>
      </c>
      <c r="G106" s="21">
        <v>-5</v>
      </c>
      <c r="H106" s="4">
        <f t="shared" si="5"/>
        <v>42965.996932870366</v>
      </c>
      <c r="I106" s="3">
        <v>10</v>
      </c>
      <c r="J106" s="3">
        <v>15000</v>
      </c>
      <c r="K106" s="3">
        <f t="shared" si="6"/>
        <v>2.6888145315487571E-4</v>
      </c>
      <c r="L106" s="3">
        <v>300.762</v>
      </c>
      <c r="M106" s="3">
        <v>72.093000000000004</v>
      </c>
      <c r="N106" s="3" t="s">
        <v>1334</v>
      </c>
      <c r="O106" s="3">
        <v>33.188400000000001</v>
      </c>
      <c r="P106" s="3">
        <v>-95.016000000000005</v>
      </c>
      <c r="Q106" s="3">
        <v>36040</v>
      </c>
      <c r="R106" s="3">
        <v>36040</v>
      </c>
      <c r="S106" s="3">
        <v>6000</v>
      </c>
      <c r="T106" s="3">
        <v>72.093000000000004</v>
      </c>
      <c r="U106" s="3">
        <v>15000</v>
      </c>
      <c r="V106" s="3" t="s">
        <v>144</v>
      </c>
      <c r="W106" s="3" t="s">
        <v>382</v>
      </c>
      <c r="X106" s="3">
        <v>0</v>
      </c>
      <c r="Y106" s="3">
        <v>60000</v>
      </c>
      <c r="Z106" s="3">
        <v>80000</v>
      </c>
      <c r="AA106" s="5">
        <v>1000</v>
      </c>
      <c r="AB106" s="5">
        <v>2</v>
      </c>
      <c r="AC106" s="5">
        <v>2</v>
      </c>
      <c r="AD106" s="5">
        <v>0.05</v>
      </c>
      <c r="AE106" s="5">
        <v>0.05</v>
      </c>
      <c r="AF106" s="5">
        <v>1000</v>
      </c>
      <c r="AG106" s="5">
        <v>-1.5</v>
      </c>
      <c r="AH106" s="5">
        <v>1.5</v>
      </c>
      <c r="AI106" s="45">
        <v>0</v>
      </c>
      <c r="AJ106" s="45">
        <v>0</v>
      </c>
      <c r="AK106" s="45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5">
        <v>0</v>
      </c>
      <c r="AS106" s="54">
        <v>0</v>
      </c>
      <c r="AT106" s="52">
        <v>0</v>
      </c>
      <c r="AU106" s="52">
        <v>0</v>
      </c>
      <c r="AV106" s="52">
        <v>0</v>
      </c>
      <c r="AW106" s="38">
        <v>0</v>
      </c>
      <c r="AX106" s="38">
        <v>0</v>
      </c>
      <c r="AY106" s="38">
        <v>0</v>
      </c>
      <c r="AZ106" s="38">
        <v>0</v>
      </c>
      <c r="BA106" s="38">
        <v>0</v>
      </c>
      <c r="BB106" s="38">
        <v>0</v>
      </c>
      <c r="BC106" s="38">
        <v>0</v>
      </c>
      <c r="BD106" s="38">
        <v>0</v>
      </c>
      <c r="BE106" s="38">
        <v>0</v>
      </c>
      <c r="BF106" s="38">
        <v>0</v>
      </c>
      <c r="BG106" s="40">
        <v>1</v>
      </c>
      <c r="BH106" s="40" t="s">
        <v>1416</v>
      </c>
      <c r="BI106" s="40">
        <v>1</v>
      </c>
    </row>
    <row r="107" spans="1:61" x14ac:dyDescent="0.25">
      <c r="A107" s="6">
        <v>105</v>
      </c>
      <c r="B107" s="6" t="s">
        <v>1392</v>
      </c>
      <c r="C107" s="6" t="s">
        <v>1392</v>
      </c>
      <c r="D107" s="6" t="s">
        <v>1393</v>
      </c>
      <c r="E107" s="6" t="s">
        <v>100</v>
      </c>
      <c r="F107" s="17">
        <v>44322.246145833335</v>
      </c>
      <c r="G107" s="21">
        <v>9.5</v>
      </c>
      <c r="H107" s="4">
        <f t="shared" si="5"/>
        <v>44322.64197916667</v>
      </c>
      <c r="I107" s="3">
        <v>897</v>
      </c>
      <c r="J107" s="3">
        <v>26620</v>
      </c>
      <c r="K107" s="3">
        <f t="shared" si="6"/>
        <v>7.5960335420650088E-2</v>
      </c>
      <c r="L107" s="3">
        <v>142.38800000000001</v>
      </c>
      <c r="M107" s="3">
        <v>52.68</v>
      </c>
      <c r="N107" s="3" t="s">
        <v>1270</v>
      </c>
      <c r="O107" s="3">
        <v>-34.700000000000003</v>
      </c>
      <c r="P107" s="3">
        <v>141</v>
      </c>
      <c r="Q107" s="3">
        <v>31000</v>
      </c>
      <c r="R107" s="3">
        <v>31000</v>
      </c>
      <c r="S107" s="3">
        <v>26620</v>
      </c>
      <c r="T107" s="3">
        <v>52.7</v>
      </c>
      <c r="U107" s="3">
        <v>20000</v>
      </c>
      <c r="V107" s="3" t="s">
        <v>144</v>
      </c>
      <c r="W107" s="3" t="s">
        <v>382</v>
      </c>
      <c r="X107" s="3">
        <v>0</v>
      </c>
      <c r="Y107" s="3">
        <v>60000</v>
      </c>
      <c r="Z107" s="3">
        <v>60000</v>
      </c>
      <c r="AA107" s="5">
        <v>1000</v>
      </c>
      <c r="AB107" s="5">
        <v>2</v>
      </c>
      <c r="AC107" s="5">
        <v>2</v>
      </c>
      <c r="AD107" s="5">
        <v>0.05</v>
      </c>
      <c r="AE107" s="5">
        <v>0.05</v>
      </c>
      <c r="AF107" s="5">
        <v>1000</v>
      </c>
      <c r="AG107" s="5">
        <v>-1.5</v>
      </c>
      <c r="AH107" s="5">
        <v>1.5</v>
      </c>
      <c r="AI107" s="45">
        <v>0</v>
      </c>
      <c r="AJ107" s="45">
        <v>0</v>
      </c>
      <c r="AK107" s="45">
        <v>0</v>
      </c>
      <c r="AL107" s="23">
        <v>0</v>
      </c>
      <c r="AM107" s="23">
        <v>0</v>
      </c>
      <c r="AN107" s="23">
        <v>0</v>
      </c>
      <c r="AO107" s="23">
        <v>0</v>
      </c>
      <c r="AP107" s="23">
        <v>0</v>
      </c>
      <c r="AQ107" s="23">
        <v>0</v>
      </c>
      <c r="AR107" s="25">
        <v>0</v>
      </c>
      <c r="AS107" s="54">
        <v>0</v>
      </c>
      <c r="AT107" s="52">
        <v>0</v>
      </c>
      <c r="AU107" s="52">
        <v>0</v>
      </c>
      <c r="AV107" s="52">
        <v>0</v>
      </c>
      <c r="AW107" s="38">
        <v>0</v>
      </c>
      <c r="AX107" s="38">
        <v>0</v>
      </c>
      <c r="AY107" s="38">
        <v>0</v>
      </c>
      <c r="AZ107" s="38">
        <v>0</v>
      </c>
      <c r="BA107" s="38">
        <v>0</v>
      </c>
      <c r="BB107" s="38">
        <v>0</v>
      </c>
      <c r="BC107" s="38">
        <v>0</v>
      </c>
      <c r="BD107" s="38">
        <v>0</v>
      </c>
      <c r="BE107" s="38">
        <v>0</v>
      </c>
      <c r="BF107" s="38">
        <v>0</v>
      </c>
      <c r="BG107" s="40">
        <v>2</v>
      </c>
      <c r="BH107" s="40" t="s">
        <v>1416</v>
      </c>
      <c r="BI107" s="40">
        <v>0</v>
      </c>
    </row>
    <row r="108" spans="1:61" x14ac:dyDescent="0.25">
      <c r="A108" s="6">
        <v>106</v>
      </c>
      <c r="B108" s="6" t="s">
        <v>1394</v>
      </c>
      <c r="C108" s="6" t="s">
        <v>1394</v>
      </c>
      <c r="D108" s="6" t="s">
        <v>1394</v>
      </c>
      <c r="E108" s="6" t="s">
        <v>142</v>
      </c>
      <c r="F108" s="17">
        <v>43892.984027777777</v>
      </c>
      <c r="G108" s="21">
        <v>1</v>
      </c>
      <c r="H108" s="4">
        <f t="shared" si="5"/>
        <v>43893.025694444441</v>
      </c>
      <c r="I108" s="3">
        <v>10</v>
      </c>
      <c r="J108" s="3">
        <v>15000</v>
      </c>
      <c r="K108" s="3">
        <f t="shared" si="6"/>
        <v>2.6888145315487571E-4</v>
      </c>
      <c r="L108" s="3">
        <v>158.69999999999999</v>
      </c>
      <c r="M108" s="3">
        <v>38</v>
      </c>
      <c r="N108" s="3" t="s">
        <v>1334</v>
      </c>
      <c r="O108" s="3">
        <v>51.65</v>
      </c>
      <c r="P108" s="3">
        <v>6.7</v>
      </c>
      <c r="Q108" s="3">
        <v>27000</v>
      </c>
      <c r="R108" s="3">
        <v>27000</v>
      </c>
      <c r="S108" s="3">
        <v>15000</v>
      </c>
      <c r="T108" s="3">
        <v>38</v>
      </c>
      <c r="U108" s="3">
        <v>25000</v>
      </c>
      <c r="V108" s="3" t="s">
        <v>144</v>
      </c>
      <c r="W108" s="3" t="s">
        <v>382</v>
      </c>
      <c r="X108" s="3">
        <v>0</v>
      </c>
      <c r="Y108" s="3">
        <v>60000</v>
      </c>
      <c r="Z108" s="3">
        <v>60000</v>
      </c>
      <c r="AA108" s="5">
        <v>1000</v>
      </c>
      <c r="AB108" s="5">
        <v>2</v>
      </c>
      <c r="AC108" s="5">
        <v>2</v>
      </c>
      <c r="AD108" s="5">
        <v>0.05</v>
      </c>
      <c r="AE108" s="5">
        <v>0.05</v>
      </c>
      <c r="AF108" s="5">
        <v>1000</v>
      </c>
      <c r="AG108" s="5">
        <v>-1.5</v>
      </c>
      <c r="AH108" s="5">
        <v>1.5</v>
      </c>
      <c r="AI108" s="45">
        <v>0</v>
      </c>
      <c r="AJ108" s="45">
        <v>0</v>
      </c>
      <c r="AK108" s="45">
        <v>0</v>
      </c>
      <c r="AL108" s="23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5">
        <v>0</v>
      </c>
      <c r="AS108" s="54">
        <v>0</v>
      </c>
      <c r="AT108" s="52">
        <v>0</v>
      </c>
      <c r="AU108" s="52">
        <v>0</v>
      </c>
      <c r="AV108" s="52">
        <v>0</v>
      </c>
      <c r="AW108" s="38">
        <v>0</v>
      </c>
      <c r="AX108" s="38">
        <v>0</v>
      </c>
      <c r="AY108" s="38">
        <v>0</v>
      </c>
      <c r="AZ108" s="38">
        <v>0</v>
      </c>
      <c r="BA108" s="38">
        <v>0</v>
      </c>
      <c r="BB108" s="38">
        <v>0</v>
      </c>
      <c r="BC108" s="38">
        <v>0</v>
      </c>
      <c r="BD108" s="38">
        <v>0</v>
      </c>
      <c r="BE108" s="38">
        <v>0</v>
      </c>
      <c r="BF108" s="38">
        <v>0</v>
      </c>
      <c r="BG108" s="40">
        <v>1</v>
      </c>
      <c r="BH108" s="40" t="s">
        <v>1416</v>
      </c>
      <c r="BI108" s="40">
        <v>1</v>
      </c>
    </row>
    <row r="109" spans="1:61" x14ac:dyDescent="0.25">
      <c r="A109" s="6">
        <v>107</v>
      </c>
      <c r="B109" s="6" t="s">
        <v>1395</v>
      </c>
      <c r="C109" s="6" t="s">
        <v>1396</v>
      </c>
      <c r="D109" s="6" t="s">
        <v>1397</v>
      </c>
      <c r="E109" s="6" t="s">
        <v>895</v>
      </c>
      <c r="F109" s="17">
        <v>44401.964456018519</v>
      </c>
      <c r="G109" s="21">
        <v>2</v>
      </c>
      <c r="H109" s="4">
        <f t="shared" si="5"/>
        <v>44402.047789351855</v>
      </c>
      <c r="I109" s="3">
        <v>100</v>
      </c>
      <c r="J109" s="3">
        <v>14500</v>
      </c>
      <c r="K109" s="3">
        <f t="shared" si="6"/>
        <v>2.5125478011472271E-3</v>
      </c>
      <c r="L109" s="3">
        <v>222</v>
      </c>
      <c r="M109" s="3">
        <v>62.9</v>
      </c>
      <c r="N109" s="3" t="s">
        <v>1334</v>
      </c>
      <c r="O109" s="3">
        <v>59.908000000000001</v>
      </c>
      <c r="P109" s="3">
        <v>10.207000000000001</v>
      </c>
      <c r="Q109" s="3">
        <v>23500</v>
      </c>
      <c r="R109" s="3">
        <v>23500</v>
      </c>
      <c r="S109" s="3">
        <v>14500</v>
      </c>
      <c r="T109" s="3">
        <v>62.9</v>
      </c>
      <c r="U109" s="3">
        <v>23500</v>
      </c>
      <c r="V109" s="3" t="s">
        <v>144</v>
      </c>
      <c r="W109" s="3" t="s">
        <v>382</v>
      </c>
      <c r="X109" s="3">
        <v>0</v>
      </c>
      <c r="Y109" s="3">
        <v>60000</v>
      </c>
      <c r="Z109" s="3">
        <v>60000</v>
      </c>
      <c r="AA109" s="5">
        <v>500</v>
      </c>
      <c r="AB109" s="5">
        <v>0.2</v>
      </c>
      <c r="AC109" s="5">
        <v>0.2</v>
      </c>
      <c r="AD109" s="5">
        <v>5.0000000000000001E-3</v>
      </c>
      <c r="AE109" s="5">
        <v>5.0000000000000001E-3</v>
      </c>
      <c r="AF109" s="5">
        <v>500</v>
      </c>
      <c r="AG109" s="5">
        <v>-1.5</v>
      </c>
      <c r="AH109" s="5">
        <v>1.5</v>
      </c>
      <c r="AI109" s="45">
        <v>0</v>
      </c>
      <c r="AJ109" s="45">
        <v>0</v>
      </c>
      <c r="AK109" s="45">
        <v>0</v>
      </c>
      <c r="AL109" s="23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5">
        <v>0</v>
      </c>
      <c r="AS109" s="54">
        <v>0</v>
      </c>
      <c r="AT109" s="52">
        <v>0</v>
      </c>
      <c r="AU109" s="52">
        <v>0</v>
      </c>
      <c r="AV109" s="52">
        <v>0</v>
      </c>
      <c r="AW109" s="38">
        <v>0</v>
      </c>
      <c r="AX109" s="38">
        <v>0</v>
      </c>
      <c r="AY109" s="38">
        <v>0</v>
      </c>
      <c r="AZ109" s="38">
        <v>0</v>
      </c>
      <c r="BA109" s="38">
        <v>0</v>
      </c>
      <c r="BB109" s="38">
        <v>0</v>
      </c>
      <c r="BC109" s="38">
        <v>0</v>
      </c>
      <c r="BD109" s="38">
        <v>0</v>
      </c>
      <c r="BE109" s="38">
        <v>0</v>
      </c>
      <c r="BF109" s="38">
        <v>0</v>
      </c>
      <c r="BG109" s="40">
        <v>3</v>
      </c>
      <c r="BH109" s="40" t="s">
        <v>1416</v>
      </c>
      <c r="BI109" s="40">
        <v>0</v>
      </c>
    </row>
    <row r="110" spans="1:61" x14ac:dyDescent="0.25">
      <c r="A110" s="6">
        <v>108</v>
      </c>
      <c r="B110" s="6" t="s">
        <v>1399</v>
      </c>
      <c r="C110" s="6" t="s">
        <v>1398</v>
      </c>
      <c r="D110" s="6" t="s">
        <v>1390</v>
      </c>
      <c r="E110" s="6" t="s">
        <v>4</v>
      </c>
      <c r="F110" s="17">
        <v>44403.081250000003</v>
      </c>
      <c r="G110" s="21">
        <v>-5</v>
      </c>
      <c r="H110" s="4">
        <f t="shared" si="5"/>
        <v>44402.872916666667</v>
      </c>
      <c r="I110" s="3">
        <v>10</v>
      </c>
      <c r="J110" s="3">
        <v>13000</v>
      </c>
      <c r="K110" s="3">
        <f t="shared" si="6"/>
        <v>2.0195984703632886E-4</v>
      </c>
      <c r="L110" s="3">
        <v>43.5</v>
      </c>
      <c r="M110" s="3">
        <v>47.9</v>
      </c>
      <c r="N110" s="3" t="s">
        <v>1334</v>
      </c>
      <c r="O110" s="3">
        <v>33.261947999999997</v>
      </c>
      <c r="P110" s="3">
        <v>-95.167147999999997</v>
      </c>
      <c r="Q110" s="3">
        <v>28500</v>
      </c>
      <c r="R110" s="3">
        <v>28500</v>
      </c>
      <c r="S110" s="3">
        <v>13250</v>
      </c>
      <c r="T110" s="3">
        <v>47.9</v>
      </c>
      <c r="U110" s="3">
        <v>25000</v>
      </c>
      <c r="V110" s="3" t="s">
        <v>144</v>
      </c>
      <c r="W110" s="3" t="s">
        <v>382</v>
      </c>
      <c r="X110" s="3">
        <v>0</v>
      </c>
      <c r="Y110" s="3">
        <v>60000</v>
      </c>
      <c r="Z110" s="3">
        <v>60000</v>
      </c>
      <c r="AA110" s="5">
        <v>2000</v>
      </c>
      <c r="AB110" s="5">
        <v>6.5</v>
      </c>
      <c r="AC110" s="5">
        <v>5.0999999999999996</v>
      </c>
      <c r="AD110" s="5">
        <v>1.7000000000000001E-2</v>
      </c>
      <c r="AE110" s="5">
        <v>0.05</v>
      </c>
      <c r="AF110" s="5">
        <v>2500</v>
      </c>
      <c r="AG110" s="5">
        <v>-1.5</v>
      </c>
      <c r="AH110" s="5">
        <v>1.5</v>
      </c>
      <c r="AI110" s="45">
        <v>0</v>
      </c>
      <c r="AJ110" s="45">
        <v>0</v>
      </c>
      <c r="AK110" s="45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5">
        <v>0</v>
      </c>
      <c r="AS110" s="54">
        <v>0</v>
      </c>
      <c r="AT110" s="52">
        <v>0</v>
      </c>
      <c r="AU110" s="52">
        <v>0</v>
      </c>
      <c r="AV110" s="52">
        <v>0</v>
      </c>
      <c r="AW110" s="38">
        <v>0</v>
      </c>
      <c r="AX110" s="38">
        <v>0</v>
      </c>
      <c r="AY110" s="38">
        <v>0</v>
      </c>
      <c r="AZ110" s="38">
        <v>0</v>
      </c>
      <c r="BA110" s="38">
        <v>0</v>
      </c>
      <c r="BB110" s="38">
        <v>0</v>
      </c>
      <c r="BC110" s="38">
        <v>0</v>
      </c>
      <c r="BD110" s="38">
        <v>0</v>
      </c>
      <c r="BE110" s="38">
        <v>0</v>
      </c>
      <c r="BF110" s="38">
        <v>0</v>
      </c>
      <c r="BG110" s="40">
        <v>3</v>
      </c>
      <c r="BH110" s="40" t="s">
        <v>1416</v>
      </c>
      <c r="BI110" s="40">
        <v>0</v>
      </c>
    </row>
    <row r="111" spans="1:61" x14ac:dyDescent="0.25">
      <c r="A111" s="6">
        <v>109</v>
      </c>
      <c r="B111" s="6" t="s">
        <v>1400</v>
      </c>
      <c r="C111" s="6" t="s">
        <v>1401</v>
      </c>
      <c r="D111" s="6" t="s">
        <v>1402</v>
      </c>
      <c r="E111" s="6" t="s">
        <v>63</v>
      </c>
      <c r="F111" s="17">
        <v>44406.555520833332</v>
      </c>
      <c r="G111" s="21">
        <v>8</v>
      </c>
      <c r="H111" s="4">
        <f t="shared" si="5"/>
        <v>44406.888854166667</v>
      </c>
      <c r="I111" s="3">
        <v>5066</v>
      </c>
      <c r="J111" s="3">
        <v>14650</v>
      </c>
      <c r="K111" s="3">
        <f t="shared" si="6"/>
        <v>0.12993278979445505</v>
      </c>
      <c r="L111" s="3">
        <v>64.599999999999994</v>
      </c>
      <c r="M111" s="3">
        <v>14.5</v>
      </c>
      <c r="N111" s="3" t="s">
        <v>1334</v>
      </c>
      <c r="O111" s="3">
        <v>42.440792000000002</v>
      </c>
      <c r="P111" s="3">
        <v>98.362661000000003</v>
      </c>
      <c r="Q111" s="3">
        <v>26400</v>
      </c>
      <c r="R111" s="3">
        <v>26400</v>
      </c>
      <c r="S111" s="3">
        <v>14650</v>
      </c>
      <c r="T111" s="3">
        <v>14.5</v>
      </c>
      <c r="U111" s="3">
        <v>10000</v>
      </c>
      <c r="V111" s="3" t="s">
        <v>144</v>
      </c>
      <c r="W111" s="3" t="s">
        <v>382</v>
      </c>
      <c r="X111" s="3">
        <v>0</v>
      </c>
      <c r="Y111" s="3">
        <v>30000</v>
      </c>
      <c r="Z111" s="3">
        <v>30000</v>
      </c>
      <c r="AA111" s="5">
        <v>1000</v>
      </c>
      <c r="AB111" s="5">
        <v>2</v>
      </c>
      <c r="AC111" s="5">
        <v>2</v>
      </c>
      <c r="AD111" s="5">
        <v>0.01</v>
      </c>
      <c r="AE111" s="5">
        <v>0.01</v>
      </c>
      <c r="AF111" s="5">
        <v>1000</v>
      </c>
      <c r="AG111" s="5">
        <v>-1.5</v>
      </c>
      <c r="AH111" s="5">
        <v>1.5</v>
      </c>
      <c r="AI111" s="45">
        <v>0</v>
      </c>
      <c r="AJ111" s="45">
        <v>0</v>
      </c>
      <c r="AK111" s="45">
        <v>0</v>
      </c>
      <c r="AL111" s="23">
        <v>0</v>
      </c>
      <c r="AM111" s="23">
        <v>0</v>
      </c>
      <c r="AN111" s="23">
        <v>0</v>
      </c>
      <c r="AO111" s="23">
        <v>0</v>
      </c>
      <c r="AP111" s="23">
        <v>0</v>
      </c>
      <c r="AQ111" s="23">
        <v>0</v>
      </c>
      <c r="AR111" s="25">
        <v>0</v>
      </c>
      <c r="AS111" s="54">
        <v>0</v>
      </c>
      <c r="AT111" s="52">
        <v>0</v>
      </c>
      <c r="AU111" s="52">
        <v>0</v>
      </c>
      <c r="AV111" s="52">
        <v>0</v>
      </c>
      <c r="AW111" s="38">
        <v>0</v>
      </c>
      <c r="AX111" s="38">
        <v>0</v>
      </c>
      <c r="AY111" s="38">
        <v>0</v>
      </c>
      <c r="AZ111" s="38">
        <v>0</v>
      </c>
      <c r="BA111" s="38">
        <v>0</v>
      </c>
      <c r="BB111" s="38">
        <v>0</v>
      </c>
      <c r="BC111" s="38">
        <v>0</v>
      </c>
      <c r="BD111" s="38">
        <v>0</v>
      </c>
      <c r="BE111" s="38">
        <v>0</v>
      </c>
      <c r="BF111" s="38">
        <v>0</v>
      </c>
      <c r="BG111" s="40">
        <v>2</v>
      </c>
      <c r="BH111" s="40" t="s">
        <v>1416</v>
      </c>
      <c r="BI111" s="40">
        <v>0</v>
      </c>
    </row>
    <row r="112" spans="1:61" x14ac:dyDescent="0.25">
      <c r="A112" s="6">
        <v>110</v>
      </c>
      <c r="B112" s="6" t="s">
        <v>1404</v>
      </c>
      <c r="C112" s="6" t="s">
        <v>1403</v>
      </c>
      <c r="D112" s="6" t="s">
        <v>1332</v>
      </c>
      <c r="E112" s="6" t="s">
        <v>71</v>
      </c>
      <c r="F112" s="17">
        <v>44447.046956018516</v>
      </c>
      <c r="G112" s="21">
        <v>-3</v>
      </c>
      <c r="H112" s="4">
        <f t="shared" si="5"/>
        <v>44446.921956018516</v>
      </c>
      <c r="I112" s="3">
        <v>50</v>
      </c>
      <c r="J112" s="3">
        <v>24020</v>
      </c>
      <c r="K112" s="3">
        <f t="shared" si="6"/>
        <v>3.4474211281070744E-3</v>
      </c>
      <c r="L112" s="3">
        <v>286.4572</v>
      </c>
      <c r="M112" s="3">
        <v>24.478400000000001</v>
      </c>
      <c r="N112" s="3" t="s">
        <v>1334</v>
      </c>
      <c r="O112" s="3">
        <v>-15.03518</v>
      </c>
      <c r="P112" s="3">
        <v>-44.872199999999999</v>
      </c>
      <c r="Q112" s="3">
        <v>26200</v>
      </c>
      <c r="R112" s="3">
        <v>26200</v>
      </c>
      <c r="S112" s="3">
        <v>24020</v>
      </c>
      <c r="T112" s="3">
        <v>24.478400000000001</v>
      </c>
      <c r="U112" s="3">
        <v>26200</v>
      </c>
      <c r="V112" s="3" t="s">
        <v>144</v>
      </c>
      <c r="W112" s="3" t="s">
        <v>382</v>
      </c>
      <c r="X112" s="3">
        <v>0</v>
      </c>
      <c r="Y112" s="3">
        <v>60000</v>
      </c>
      <c r="Z112" s="3">
        <v>60000</v>
      </c>
      <c r="AA112" s="5">
        <v>1000</v>
      </c>
      <c r="AB112" s="5">
        <v>8.6999999999999993</v>
      </c>
      <c r="AC112" s="5">
        <v>3.5</v>
      </c>
      <c r="AD112" s="5">
        <v>0.01</v>
      </c>
      <c r="AE112" s="5">
        <v>0.01</v>
      </c>
      <c r="AF112" s="5">
        <v>1000</v>
      </c>
      <c r="AG112" s="5">
        <v>-1.5</v>
      </c>
      <c r="AH112" s="5">
        <v>1.5</v>
      </c>
      <c r="AI112" s="45">
        <v>0</v>
      </c>
      <c r="AJ112" s="45">
        <v>0</v>
      </c>
      <c r="AK112" s="45">
        <v>0</v>
      </c>
      <c r="AL112" s="23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5">
        <v>0</v>
      </c>
      <c r="AS112" s="54">
        <v>0</v>
      </c>
      <c r="AT112" s="52">
        <v>0</v>
      </c>
      <c r="AU112" s="52">
        <v>0</v>
      </c>
      <c r="AV112" s="52">
        <v>0</v>
      </c>
      <c r="AW112" s="38">
        <v>0</v>
      </c>
      <c r="AX112" s="38">
        <v>0</v>
      </c>
      <c r="AY112" s="38">
        <v>0</v>
      </c>
      <c r="AZ112" s="38">
        <v>0</v>
      </c>
      <c r="BA112" s="38">
        <v>0</v>
      </c>
      <c r="BB112" s="38">
        <v>0</v>
      </c>
      <c r="BC112" s="38">
        <v>0</v>
      </c>
      <c r="BD112" s="38">
        <v>0</v>
      </c>
      <c r="BE112" s="38">
        <v>0</v>
      </c>
      <c r="BF112" s="38">
        <v>0</v>
      </c>
      <c r="BG112" s="40">
        <v>3</v>
      </c>
      <c r="BH112" s="40" t="s">
        <v>1416</v>
      </c>
      <c r="BI112" s="40">
        <v>0</v>
      </c>
    </row>
    <row r="113" spans="1:61" x14ac:dyDescent="0.25">
      <c r="A113" s="6">
        <v>111</v>
      </c>
      <c r="B113" s="6" t="s">
        <v>1405</v>
      </c>
      <c r="C113" s="6" t="s">
        <v>1405</v>
      </c>
      <c r="D113" s="6" t="s">
        <v>1406</v>
      </c>
      <c r="E113" s="6" t="s">
        <v>4</v>
      </c>
      <c r="F113" s="17">
        <v>44493.046041666668</v>
      </c>
      <c r="G113" s="21">
        <v>-4</v>
      </c>
      <c r="H113" s="4">
        <f t="shared" ref="H113:H130" si="7">F113+G113/24</f>
        <v>44492.879375000004</v>
      </c>
      <c r="I113" s="3">
        <v>10</v>
      </c>
      <c r="J113" s="3">
        <v>18300</v>
      </c>
      <c r="K113" s="3">
        <f t="shared" si="6"/>
        <v>4.0020315487571698E-4</v>
      </c>
      <c r="L113" s="3">
        <v>303</v>
      </c>
      <c r="M113" s="3">
        <v>53</v>
      </c>
      <c r="N113" s="3" t="s">
        <v>1334</v>
      </c>
      <c r="O113" s="3">
        <v>35.590299999999999</v>
      </c>
      <c r="P113" s="3">
        <v>-84.085899999999995</v>
      </c>
      <c r="Q113" s="3">
        <v>23600</v>
      </c>
      <c r="R113" s="3">
        <v>23600</v>
      </c>
      <c r="S113" s="3">
        <v>18300</v>
      </c>
      <c r="T113" s="3">
        <v>53</v>
      </c>
      <c r="U113" s="3">
        <v>23600</v>
      </c>
      <c r="V113" s="3" t="s">
        <v>144</v>
      </c>
      <c r="W113" s="3" t="s">
        <v>382</v>
      </c>
      <c r="X113" s="3">
        <v>0</v>
      </c>
      <c r="Y113" s="3">
        <v>60000</v>
      </c>
      <c r="Z113" s="3">
        <v>60000</v>
      </c>
      <c r="AA113" s="5">
        <v>500</v>
      </c>
      <c r="AB113" s="5">
        <v>2</v>
      </c>
      <c r="AC113" s="5">
        <v>2</v>
      </c>
      <c r="AD113" s="5">
        <v>0.01</v>
      </c>
      <c r="AE113" s="5">
        <v>0.01</v>
      </c>
      <c r="AF113" s="5">
        <v>1000</v>
      </c>
      <c r="AG113" s="5">
        <v>-1.5</v>
      </c>
      <c r="AH113" s="5">
        <v>1.5</v>
      </c>
      <c r="AI113" s="45">
        <v>0</v>
      </c>
      <c r="AJ113" s="45">
        <v>0</v>
      </c>
      <c r="AK113" s="45">
        <v>0</v>
      </c>
      <c r="AL113" s="23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5">
        <v>0</v>
      </c>
      <c r="AS113" s="54">
        <v>0</v>
      </c>
      <c r="AT113" s="52">
        <v>0</v>
      </c>
      <c r="AU113" s="52">
        <v>0</v>
      </c>
      <c r="AV113" s="52">
        <v>0</v>
      </c>
      <c r="AW113" s="38">
        <v>0</v>
      </c>
      <c r="AX113" s="38">
        <v>0</v>
      </c>
      <c r="AY113" s="38">
        <v>0</v>
      </c>
      <c r="AZ113" s="38">
        <v>0</v>
      </c>
      <c r="BA113" s="38">
        <v>0</v>
      </c>
      <c r="BB113" s="38">
        <v>0</v>
      </c>
      <c r="BC113" s="38">
        <v>0</v>
      </c>
      <c r="BD113" s="38">
        <v>0</v>
      </c>
      <c r="BE113" s="38">
        <v>0</v>
      </c>
      <c r="BF113" s="38">
        <v>0</v>
      </c>
      <c r="BG113" s="40">
        <v>3</v>
      </c>
      <c r="BH113" s="40" t="s">
        <v>1416</v>
      </c>
      <c r="BI113" s="40">
        <v>0</v>
      </c>
    </row>
    <row r="114" spans="1:61" x14ac:dyDescent="0.25">
      <c r="A114" s="6">
        <v>112</v>
      </c>
      <c r="B114" s="6" t="s">
        <v>1410</v>
      </c>
      <c r="C114" s="6" t="s">
        <v>1407</v>
      </c>
      <c r="D114" s="6" t="s">
        <v>1408</v>
      </c>
      <c r="E114" s="6" t="s">
        <v>113</v>
      </c>
      <c r="F114" s="17">
        <v>44550.969386574077</v>
      </c>
      <c r="G114" s="21">
        <v>5</v>
      </c>
      <c r="H114" s="4">
        <f t="shared" si="7"/>
        <v>44551.177719907413</v>
      </c>
      <c r="I114" s="3">
        <v>2783</v>
      </c>
      <c r="J114" s="3">
        <v>18190</v>
      </c>
      <c r="K114" s="3">
        <f t="shared" si="6"/>
        <v>0.11004160926147227</v>
      </c>
      <c r="L114" s="3">
        <v>247.7</v>
      </c>
      <c r="M114" s="3">
        <v>47.8</v>
      </c>
      <c r="N114" s="3" t="s">
        <v>1409</v>
      </c>
      <c r="O114" s="3">
        <v>62.7</v>
      </c>
      <c r="P114" s="3">
        <v>60.3</v>
      </c>
      <c r="Q114" s="3">
        <v>56000</v>
      </c>
      <c r="R114" s="3">
        <v>56000</v>
      </c>
      <c r="S114" s="3">
        <v>18190</v>
      </c>
      <c r="T114" s="3">
        <v>47.8</v>
      </c>
      <c r="U114" s="3">
        <v>20000</v>
      </c>
      <c r="V114" s="3" t="s">
        <v>144</v>
      </c>
      <c r="W114" s="3" t="s">
        <v>382</v>
      </c>
      <c r="X114" s="3">
        <v>0</v>
      </c>
      <c r="Y114" s="3">
        <v>85000</v>
      </c>
      <c r="Z114" s="3">
        <v>85000</v>
      </c>
      <c r="AA114" s="5">
        <v>750</v>
      </c>
      <c r="AB114" s="5">
        <v>2</v>
      </c>
      <c r="AC114" s="5">
        <v>5</v>
      </c>
      <c r="AD114" s="5">
        <v>0.05</v>
      </c>
      <c r="AE114" s="5">
        <v>0.05</v>
      </c>
      <c r="AF114" s="5">
        <v>1000</v>
      </c>
      <c r="AG114" s="5">
        <v>-1.5</v>
      </c>
      <c r="AH114" s="5">
        <v>1.5</v>
      </c>
      <c r="AI114" s="45">
        <v>0</v>
      </c>
      <c r="AJ114" s="45">
        <v>0</v>
      </c>
      <c r="AK114" s="45">
        <v>0</v>
      </c>
      <c r="AL114" s="23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5">
        <v>0</v>
      </c>
      <c r="AS114" s="54">
        <v>0</v>
      </c>
      <c r="AT114" s="52">
        <v>0</v>
      </c>
      <c r="AU114" s="52">
        <v>0</v>
      </c>
      <c r="AV114" s="52">
        <v>0</v>
      </c>
      <c r="AW114" s="38">
        <v>0</v>
      </c>
      <c r="AX114" s="38">
        <v>0</v>
      </c>
      <c r="AY114" s="38">
        <v>0</v>
      </c>
      <c r="AZ114" s="38">
        <v>0</v>
      </c>
      <c r="BA114" s="38">
        <v>0</v>
      </c>
      <c r="BB114" s="38">
        <v>0</v>
      </c>
      <c r="BC114" s="38">
        <v>0</v>
      </c>
      <c r="BD114" s="38">
        <v>0</v>
      </c>
      <c r="BE114" s="38">
        <v>0</v>
      </c>
      <c r="BF114" s="38">
        <v>0</v>
      </c>
      <c r="BG114" s="40">
        <v>2</v>
      </c>
      <c r="BH114" s="40" t="s">
        <v>1416</v>
      </c>
      <c r="BI114" s="40">
        <v>0</v>
      </c>
    </row>
    <row r="115" spans="1:61" x14ac:dyDescent="0.25">
      <c r="A115" s="6">
        <v>113</v>
      </c>
      <c r="B115" s="6" t="s">
        <v>1004</v>
      </c>
      <c r="C115" s="6" t="s">
        <v>1411</v>
      </c>
      <c r="D115" s="6" t="s">
        <v>1411</v>
      </c>
      <c r="E115" s="6" t="s">
        <v>1004</v>
      </c>
      <c r="F115" s="17">
        <v>44574.713171296295</v>
      </c>
      <c r="G115" s="21">
        <v>1</v>
      </c>
      <c r="H115" s="4">
        <f t="shared" si="7"/>
        <v>44574.754837962959</v>
      </c>
      <c r="I115" s="3">
        <v>10</v>
      </c>
      <c r="J115" s="3">
        <v>16000</v>
      </c>
      <c r="K115" s="3">
        <f t="shared" si="6"/>
        <v>3.0592734225621415E-4</v>
      </c>
      <c r="L115" s="3">
        <v>225.2</v>
      </c>
      <c r="M115" s="3">
        <v>66.900000000000006</v>
      </c>
      <c r="N115" s="3" t="s">
        <v>1334</v>
      </c>
      <c r="O115" s="3">
        <v>48.661099999999998</v>
      </c>
      <c r="P115" s="3">
        <v>17.0884</v>
      </c>
      <c r="Q115" s="3">
        <v>31560</v>
      </c>
      <c r="R115" s="3">
        <v>31560</v>
      </c>
      <c r="S115" s="3">
        <v>16000</v>
      </c>
      <c r="T115" s="3">
        <v>66.900000000000006</v>
      </c>
      <c r="U115" s="3">
        <v>31000</v>
      </c>
      <c r="V115" s="3" t="s">
        <v>144</v>
      </c>
      <c r="W115" s="3" t="s">
        <v>382</v>
      </c>
      <c r="X115" s="3">
        <v>0</v>
      </c>
      <c r="Y115" s="3">
        <v>60000</v>
      </c>
      <c r="Z115" s="3">
        <v>60000</v>
      </c>
      <c r="AA115" s="5">
        <v>3000</v>
      </c>
      <c r="AB115" s="5">
        <v>2</v>
      </c>
      <c r="AC115" s="5">
        <v>10</v>
      </c>
      <c r="AD115" s="5">
        <v>0.05</v>
      </c>
      <c r="AE115" s="5">
        <v>0.05</v>
      </c>
      <c r="AF115" s="5">
        <v>1000</v>
      </c>
      <c r="AG115" s="5">
        <v>-1.5</v>
      </c>
      <c r="AH115" s="5">
        <v>1.5</v>
      </c>
      <c r="AI115" s="45">
        <v>0</v>
      </c>
      <c r="AJ115" s="45">
        <v>0</v>
      </c>
      <c r="AK115" s="45">
        <v>0</v>
      </c>
      <c r="AL115" s="23">
        <v>0</v>
      </c>
      <c r="AM115" s="23">
        <v>0</v>
      </c>
      <c r="AN115" s="23">
        <v>0</v>
      </c>
      <c r="AO115" s="23">
        <v>0</v>
      </c>
      <c r="AP115" s="23">
        <v>0</v>
      </c>
      <c r="AQ115" s="23">
        <v>0</v>
      </c>
      <c r="AR115" s="25">
        <v>0</v>
      </c>
      <c r="AS115" s="54">
        <v>0</v>
      </c>
      <c r="AT115" s="52">
        <v>0</v>
      </c>
      <c r="AU115" s="52">
        <v>0</v>
      </c>
      <c r="AV115" s="52">
        <v>0</v>
      </c>
      <c r="AW115" s="38">
        <v>0</v>
      </c>
      <c r="AX115" s="38">
        <v>0</v>
      </c>
      <c r="AY115" s="38">
        <v>0</v>
      </c>
      <c r="AZ115" s="38">
        <v>0</v>
      </c>
      <c r="BA115" s="38">
        <v>0</v>
      </c>
      <c r="BB115" s="38">
        <v>0</v>
      </c>
      <c r="BC115" s="38">
        <v>0</v>
      </c>
      <c r="BD115" s="38">
        <v>0</v>
      </c>
      <c r="BE115" s="38">
        <v>0</v>
      </c>
      <c r="BF115" s="38">
        <v>0</v>
      </c>
      <c r="BG115" s="40">
        <v>1</v>
      </c>
      <c r="BH115" s="40" t="s">
        <v>1416</v>
      </c>
      <c r="BI115" s="40">
        <v>0</v>
      </c>
    </row>
    <row r="116" spans="1:61" x14ac:dyDescent="0.25">
      <c r="A116" s="6">
        <v>114</v>
      </c>
      <c r="B116" s="6" t="s">
        <v>1412</v>
      </c>
      <c r="C116" s="6" t="s">
        <v>1412</v>
      </c>
      <c r="D116" s="6" t="s">
        <v>1332</v>
      </c>
      <c r="E116" s="6" t="s">
        <v>71</v>
      </c>
      <c r="F116" s="17">
        <v>44575.495138888888</v>
      </c>
      <c r="G116" s="21">
        <v>-3</v>
      </c>
      <c r="H116" s="4">
        <f t="shared" si="7"/>
        <v>44575.370138888888</v>
      </c>
      <c r="I116" s="3">
        <v>100</v>
      </c>
      <c r="J116" s="3">
        <v>12138</v>
      </c>
      <c r="K116" s="3">
        <f t="shared" si="6"/>
        <v>1.7606482313575525E-3</v>
      </c>
      <c r="L116" s="3">
        <v>101.9</v>
      </c>
      <c r="M116" s="3">
        <v>51.4</v>
      </c>
      <c r="N116" s="3" t="s">
        <v>1334</v>
      </c>
      <c r="O116" s="3">
        <v>-19.432189999999999</v>
      </c>
      <c r="P116" s="3">
        <v>-47.110680000000002</v>
      </c>
      <c r="Q116" s="3">
        <v>18300</v>
      </c>
      <c r="R116" s="3">
        <v>18300</v>
      </c>
      <c r="S116" s="3">
        <v>12138</v>
      </c>
      <c r="T116" s="3">
        <v>51.4</v>
      </c>
      <c r="U116" s="3">
        <v>18300</v>
      </c>
      <c r="V116" s="3" t="s">
        <v>144</v>
      </c>
      <c r="W116" s="3" t="s">
        <v>382</v>
      </c>
      <c r="X116" s="3">
        <v>0</v>
      </c>
      <c r="Y116" s="3">
        <v>60000</v>
      </c>
      <c r="Z116" s="3">
        <v>60000</v>
      </c>
      <c r="AA116" s="5">
        <v>30</v>
      </c>
      <c r="AB116" s="5">
        <v>0.1</v>
      </c>
      <c r="AC116" s="5">
        <v>0.01</v>
      </c>
      <c r="AD116" s="5">
        <v>1.0000000000000001E-5</v>
      </c>
      <c r="AE116" s="5">
        <v>1.0000000000000001E-5</v>
      </c>
      <c r="AF116" s="5">
        <v>10</v>
      </c>
      <c r="AG116" s="5">
        <v>-1.5</v>
      </c>
      <c r="AH116" s="5">
        <v>1.5</v>
      </c>
      <c r="AI116" s="45">
        <v>0</v>
      </c>
      <c r="AJ116" s="45">
        <v>0</v>
      </c>
      <c r="AK116" s="45">
        <v>0</v>
      </c>
      <c r="AL116" s="23">
        <v>0</v>
      </c>
      <c r="AM116" s="23">
        <v>0</v>
      </c>
      <c r="AN116" s="23">
        <v>0</v>
      </c>
      <c r="AO116" s="23">
        <v>0</v>
      </c>
      <c r="AP116" s="23">
        <v>0</v>
      </c>
      <c r="AQ116" s="23">
        <v>0</v>
      </c>
      <c r="AR116" s="25">
        <v>0</v>
      </c>
      <c r="AS116" s="54">
        <v>0</v>
      </c>
      <c r="AT116" s="52">
        <v>0</v>
      </c>
      <c r="AU116" s="52">
        <v>0</v>
      </c>
      <c r="AV116" s="52">
        <v>0</v>
      </c>
      <c r="AW116" s="38">
        <v>0</v>
      </c>
      <c r="AX116" s="38">
        <v>0</v>
      </c>
      <c r="AY116" s="38">
        <v>0</v>
      </c>
      <c r="AZ116" s="38">
        <v>0</v>
      </c>
      <c r="BA116" s="38">
        <v>0</v>
      </c>
      <c r="BB116" s="38">
        <v>0</v>
      </c>
      <c r="BC116" s="38">
        <v>0</v>
      </c>
      <c r="BD116" s="38">
        <v>0</v>
      </c>
      <c r="BE116" s="38">
        <v>0</v>
      </c>
      <c r="BF116" s="38">
        <v>0</v>
      </c>
      <c r="BG116" s="40">
        <v>3</v>
      </c>
      <c r="BH116" s="40" t="s">
        <v>1418</v>
      </c>
      <c r="BI116" s="40">
        <v>1</v>
      </c>
    </row>
    <row r="117" spans="1:61" x14ac:dyDescent="0.25">
      <c r="A117" s="6">
        <v>115</v>
      </c>
      <c r="B117" s="6" t="s">
        <v>1426</v>
      </c>
      <c r="C117" s="6" t="s">
        <v>1426</v>
      </c>
      <c r="D117" s="6" t="s">
        <v>1419</v>
      </c>
      <c r="E117" s="6" t="s">
        <v>1025</v>
      </c>
      <c r="F117" s="17">
        <v>44575.893750000003</v>
      </c>
      <c r="G117" s="21">
        <v>1</v>
      </c>
      <c r="H117" s="4">
        <f t="shared" si="7"/>
        <v>44575.935416666667</v>
      </c>
      <c r="I117" s="3">
        <v>75</v>
      </c>
      <c r="J117" s="3">
        <v>13330</v>
      </c>
      <c r="K117" s="3">
        <f t="shared" si="6"/>
        <v>1.592574988049713E-3</v>
      </c>
      <c r="L117" s="3">
        <v>88.424599999999998</v>
      </c>
      <c r="M117" s="3">
        <v>7.8201000000000001</v>
      </c>
      <c r="N117" s="3" t="s">
        <v>1334</v>
      </c>
      <c r="O117" s="3">
        <v>38.499307999999999</v>
      </c>
      <c r="P117" s="3">
        <v>-4.1540220000000003</v>
      </c>
      <c r="Q117" s="3">
        <v>23000</v>
      </c>
      <c r="R117" s="3">
        <v>23000</v>
      </c>
      <c r="S117" s="3">
        <v>4500</v>
      </c>
      <c r="T117" s="3">
        <v>7.8201000000000001</v>
      </c>
      <c r="U117" s="3">
        <v>23000</v>
      </c>
      <c r="V117" s="3" t="s">
        <v>144</v>
      </c>
      <c r="W117" s="3" t="s">
        <v>382</v>
      </c>
      <c r="X117" s="3">
        <v>0</v>
      </c>
      <c r="Y117" s="3">
        <v>60000</v>
      </c>
      <c r="Z117" s="3">
        <v>60000</v>
      </c>
      <c r="AA117" s="5">
        <v>800</v>
      </c>
      <c r="AB117" s="5">
        <v>1.3</v>
      </c>
      <c r="AC117" s="5">
        <v>0.4</v>
      </c>
      <c r="AD117" s="5">
        <v>5.0000000000000001E-4</v>
      </c>
      <c r="AE117" s="5">
        <v>5.0000000000000001E-4</v>
      </c>
      <c r="AF117" s="5">
        <v>10</v>
      </c>
      <c r="AG117" s="5">
        <v>-1.5</v>
      </c>
      <c r="AH117" s="5">
        <v>1.5</v>
      </c>
      <c r="AI117" s="45">
        <v>0</v>
      </c>
      <c r="AJ117" s="45">
        <v>0</v>
      </c>
      <c r="AK117" s="45">
        <v>0</v>
      </c>
      <c r="AL117" s="23">
        <v>0</v>
      </c>
      <c r="AM117" s="23">
        <v>0</v>
      </c>
      <c r="AN117" s="23">
        <v>0</v>
      </c>
      <c r="AO117" s="23">
        <v>0</v>
      </c>
      <c r="AP117" s="23">
        <v>0</v>
      </c>
      <c r="AQ117" s="23">
        <v>0</v>
      </c>
      <c r="AR117" s="25">
        <v>0</v>
      </c>
      <c r="AS117" s="54">
        <v>0</v>
      </c>
      <c r="AT117" s="52">
        <v>0</v>
      </c>
      <c r="AU117" s="52">
        <v>0</v>
      </c>
      <c r="AV117" s="52">
        <v>0</v>
      </c>
      <c r="AW117" s="38">
        <v>0</v>
      </c>
      <c r="AX117" s="38">
        <v>0</v>
      </c>
      <c r="AY117" s="38">
        <v>0</v>
      </c>
      <c r="AZ117" s="38">
        <v>0</v>
      </c>
      <c r="BA117" s="38">
        <v>0</v>
      </c>
      <c r="BB117" s="38">
        <v>0</v>
      </c>
      <c r="BC117" s="38">
        <v>0</v>
      </c>
      <c r="BD117" s="38">
        <v>0</v>
      </c>
      <c r="BE117" s="38">
        <v>0</v>
      </c>
      <c r="BF117" s="38">
        <v>0</v>
      </c>
      <c r="BG117" s="40">
        <v>2</v>
      </c>
      <c r="BH117" s="40" t="s">
        <v>1417</v>
      </c>
      <c r="BI117" s="40">
        <v>0</v>
      </c>
    </row>
    <row r="118" spans="1:61" x14ac:dyDescent="0.25">
      <c r="A118" s="6">
        <v>116</v>
      </c>
      <c r="B118" s="6" t="s">
        <v>1421</v>
      </c>
      <c r="C118" s="6" t="s">
        <v>1421</v>
      </c>
      <c r="D118" s="6" t="s">
        <v>1326</v>
      </c>
      <c r="E118" s="6" t="s">
        <v>4</v>
      </c>
      <c r="F118" s="17">
        <v>44581.533333333333</v>
      </c>
      <c r="G118" s="21">
        <v>-6</v>
      </c>
      <c r="H118" s="4">
        <f t="shared" si="7"/>
        <v>44581.283333333333</v>
      </c>
      <c r="I118" s="3">
        <v>10</v>
      </c>
      <c r="J118" s="3">
        <v>16000</v>
      </c>
      <c r="K118" s="3">
        <f t="shared" si="6"/>
        <v>3.0592734225621415E-4</v>
      </c>
      <c r="L118" s="3">
        <v>230</v>
      </c>
      <c r="M118" s="3">
        <v>51</v>
      </c>
      <c r="N118" s="3" t="s">
        <v>1334</v>
      </c>
      <c r="O118" s="3">
        <v>42.997999999999998</v>
      </c>
      <c r="P118" s="3">
        <v>-91.058000000000007</v>
      </c>
      <c r="Q118" s="3">
        <v>32500</v>
      </c>
      <c r="R118" s="3">
        <v>32500</v>
      </c>
      <c r="S118" s="3">
        <v>10000</v>
      </c>
      <c r="T118" s="3">
        <v>54</v>
      </c>
      <c r="U118" s="3">
        <v>32500</v>
      </c>
      <c r="V118" s="3" t="s">
        <v>144</v>
      </c>
      <c r="W118" s="3" t="s">
        <v>382</v>
      </c>
      <c r="X118" s="3">
        <v>0</v>
      </c>
      <c r="Y118" s="3">
        <v>60000</v>
      </c>
      <c r="Z118" s="3">
        <v>60000</v>
      </c>
      <c r="AA118" s="5">
        <v>1500</v>
      </c>
      <c r="AB118" s="5">
        <v>3</v>
      </c>
      <c r="AC118" s="5">
        <v>5</v>
      </c>
      <c r="AD118" s="5">
        <v>7.4999999999999997E-3</v>
      </c>
      <c r="AE118" s="5">
        <v>0.05</v>
      </c>
      <c r="AF118" s="5">
        <v>1000</v>
      </c>
      <c r="AG118" s="5">
        <v>-1.5</v>
      </c>
      <c r="AH118" s="5">
        <v>1.5</v>
      </c>
      <c r="AI118" s="45">
        <v>0</v>
      </c>
      <c r="AJ118" s="45">
        <v>0</v>
      </c>
      <c r="AK118" s="45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5">
        <v>0</v>
      </c>
      <c r="AS118" s="54">
        <v>0</v>
      </c>
      <c r="AT118" s="52">
        <v>0</v>
      </c>
      <c r="AU118" s="52">
        <v>0</v>
      </c>
      <c r="AV118" s="52">
        <v>0</v>
      </c>
      <c r="AW118" s="38">
        <v>0</v>
      </c>
      <c r="AX118" s="38">
        <v>0</v>
      </c>
      <c r="AY118" s="38">
        <v>0</v>
      </c>
      <c r="AZ118" s="38">
        <v>0</v>
      </c>
      <c r="BA118" s="38">
        <v>0</v>
      </c>
      <c r="BB118" s="38">
        <v>0</v>
      </c>
      <c r="BC118" s="38">
        <v>0</v>
      </c>
      <c r="BD118" s="38">
        <v>0</v>
      </c>
      <c r="BE118" s="38">
        <v>0</v>
      </c>
      <c r="BF118" s="38">
        <v>0</v>
      </c>
      <c r="BG118" s="40">
        <v>1</v>
      </c>
      <c r="BH118" s="40" t="s">
        <v>1416</v>
      </c>
      <c r="BI118" s="40">
        <v>0</v>
      </c>
    </row>
    <row r="119" spans="1:61" x14ac:dyDescent="0.25">
      <c r="A119" s="6">
        <v>117</v>
      </c>
      <c r="B119" s="6" t="s">
        <v>1425</v>
      </c>
      <c r="C119" s="6" t="s">
        <v>1421</v>
      </c>
      <c r="D119" s="6" t="s">
        <v>1326</v>
      </c>
      <c r="E119" s="6" t="s">
        <v>4</v>
      </c>
      <c r="F119" s="17">
        <v>44581.533333333333</v>
      </c>
      <c r="G119" s="21">
        <v>-6</v>
      </c>
      <c r="H119" s="4">
        <f t="shared" si="7"/>
        <v>44581.283333333333</v>
      </c>
      <c r="I119" s="3">
        <v>0.1</v>
      </c>
      <c r="J119" s="3">
        <v>50</v>
      </c>
      <c r="K119" s="3">
        <f t="shared" si="6"/>
        <v>2.9875717017208414E-11</v>
      </c>
      <c r="L119" s="3">
        <v>230</v>
      </c>
      <c r="M119" s="3">
        <v>0</v>
      </c>
      <c r="N119" s="3" t="s">
        <v>1334</v>
      </c>
      <c r="O119" s="3">
        <v>42.9298565</v>
      </c>
      <c r="P119" s="3">
        <v>-90.993268499999999</v>
      </c>
      <c r="Q119" s="3">
        <v>1900</v>
      </c>
      <c r="R119" s="3">
        <v>1900</v>
      </c>
      <c r="S119" s="3">
        <v>50</v>
      </c>
      <c r="T119" s="3">
        <v>54</v>
      </c>
      <c r="U119" s="3">
        <v>800</v>
      </c>
      <c r="V119" s="3" t="s">
        <v>144</v>
      </c>
      <c r="W119" s="3" t="s">
        <v>382</v>
      </c>
      <c r="X119" s="3">
        <v>0</v>
      </c>
      <c r="Y119" s="3">
        <v>2000</v>
      </c>
      <c r="Z119" s="3">
        <v>2000</v>
      </c>
      <c r="AA119" s="5">
        <v>30</v>
      </c>
      <c r="AB119" s="5">
        <v>3</v>
      </c>
      <c r="AC119" s="5">
        <v>1</v>
      </c>
      <c r="AD119" s="5">
        <v>6.2525000000022146E-3</v>
      </c>
      <c r="AE119" s="5">
        <v>1.4566500000000815E-2</v>
      </c>
      <c r="AF119" s="5">
        <v>300</v>
      </c>
      <c r="AG119" s="5">
        <v>-1.5</v>
      </c>
      <c r="AH119" s="5">
        <v>1.5</v>
      </c>
      <c r="AI119" s="45">
        <v>0</v>
      </c>
      <c r="AJ119" s="45">
        <v>0</v>
      </c>
      <c r="AK119" s="45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5">
        <v>0</v>
      </c>
      <c r="AS119" s="54">
        <v>0</v>
      </c>
      <c r="AT119" s="52">
        <v>0</v>
      </c>
      <c r="AU119" s="52">
        <v>0</v>
      </c>
      <c r="AV119" s="52">
        <v>0</v>
      </c>
      <c r="AW119" s="38">
        <v>0</v>
      </c>
      <c r="AX119" s="38">
        <v>0</v>
      </c>
      <c r="AY119" s="38">
        <v>0</v>
      </c>
      <c r="AZ119" s="38">
        <v>0</v>
      </c>
      <c r="BA119" s="38">
        <v>0</v>
      </c>
      <c r="BB119" s="38">
        <v>0</v>
      </c>
      <c r="BC119" s="38">
        <v>0</v>
      </c>
      <c r="BD119" s="38">
        <v>0</v>
      </c>
      <c r="BE119" s="38">
        <v>0</v>
      </c>
      <c r="BF119" s="38">
        <v>0</v>
      </c>
      <c r="BG119" s="40">
        <v>1</v>
      </c>
      <c r="BH119" s="40" t="s">
        <v>1416</v>
      </c>
      <c r="BI119" s="40">
        <v>0</v>
      </c>
    </row>
    <row r="120" spans="1:61" x14ac:dyDescent="0.25">
      <c r="A120" s="6">
        <v>117</v>
      </c>
      <c r="B120" s="6" t="s">
        <v>1423</v>
      </c>
      <c r="C120" s="6" t="s">
        <v>1421</v>
      </c>
      <c r="D120" s="6" t="s">
        <v>1326</v>
      </c>
      <c r="E120" s="6" t="s">
        <v>4</v>
      </c>
      <c r="F120" s="17">
        <v>44581.533333333333</v>
      </c>
      <c r="G120" s="21">
        <v>-6</v>
      </c>
      <c r="H120" s="4">
        <f t="shared" si="7"/>
        <v>44581.283333333333</v>
      </c>
      <c r="I120" s="3">
        <v>0.1</v>
      </c>
      <c r="J120" s="3">
        <v>50</v>
      </c>
      <c r="K120" s="3">
        <f t="shared" si="6"/>
        <v>2.9875717017208414E-11</v>
      </c>
      <c r="L120" s="3">
        <v>230</v>
      </c>
      <c r="M120" s="3">
        <v>0</v>
      </c>
      <c r="N120" s="3" t="s">
        <v>1334</v>
      </c>
      <c r="O120" s="3">
        <v>42.946178000000003</v>
      </c>
      <c r="P120" s="3">
        <v>-91.007292000000007</v>
      </c>
      <c r="Q120" s="3">
        <v>6000</v>
      </c>
      <c r="R120" s="3">
        <v>6000</v>
      </c>
      <c r="S120" s="3">
        <v>50</v>
      </c>
      <c r="T120" s="3">
        <v>54</v>
      </c>
      <c r="U120" s="3">
        <v>800</v>
      </c>
      <c r="V120" s="3" t="s">
        <v>144</v>
      </c>
      <c r="W120" s="3" t="s">
        <v>382</v>
      </c>
      <c r="X120" s="3">
        <v>0</v>
      </c>
      <c r="Y120" s="3">
        <v>6000</v>
      </c>
      <c r="Z120" s="3">
        <v>6000</v>
      </c>
      <c r="AA120" s="5">
        <v>30</v>
      </c>
      <c r="AB120" s="5">
        <v>3</v>
      </c>
      <c r="AC120" s="5">
        <v>1</v>
      </c>
      <c r="AD120" s="5">
        <v>1.0522E-2</v>
      </c>
      <c r="AE120" s="5">
        <v>1.6618999999999998E-2</v>
      </c>
      <c r="AF120" s="5">
        <v>1000</v>
      </c>
      <c r="AG120" s="5">
        <v>-1.5</v>
      </c>
      <c r="AH120" s="5">
        <v>1.5</v>
      </c>
      <c r="AI120" s="45">
        <v>0</v>
      </c>
      <c r="AJ120" s="45">
        <v>0</v>
      </c>
      <c r="AK120" s="45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5">
        <v>0</v>
      </c>
      <c r="AS120" s="54">
        <v>0</v>
      </c>
      <c r="AT120" s="52">
        <v>0</v>
      </c>
      <c r="AU120" s="52">
        <v>0</v>
      </c>
      <c r="AV120" s="52">
        <v>0</v>
      </c>
      <c r="AW120" s="38">
        <v>0</v>
      </c>
      <c r="AX120" s="38">
        <v>0</v>
      </c>
      <c r="AY120" s="38">
        <v>0</v>
      </c>
      <c r="AZ120" s="38">
        <v>0</v>
      </c>
      <c r="BA120" s="38">
        <v>0</v>
      </c>
      <c r="BB120" s="38">
        <v>0</v>
      </c>
      <c r="BC120" s="38">
        <v>0</v>
      </c>
      <c r="BD120" s="38">
        <v>0</v>
      </c>
      <c r="BE120" s="38">
        <v>0</v>
      </c>
      <c r="BF120" s="38">
        <v>0</v>
      </c>
      <c r="BG120" s="40">
        <v>1</v>
      </c>
      <c r="BH120" s="40" t="s">
        <v>1416</v>
      </c>
      <c r="BI120" s="40">
        <v>0</v>
      </c>
    </row>
    <row r="121" spans="1:61" x14ac:dyDescent="0.25">
      <c r="A121" s="6">
        <v>118</v>
      </c>
      <c r="B121" s="6" t="s">
        <v>1429</v>
      </c>
      <c r="C121" s="6" t="s">
        <v>1427</v>
      </c>
      <c r="D121" s="6" t="s">
        <v>1227</v>
      </c>
      <c r="E121" s="6" t="s">
        <v>4</v>
      </c>
      <c r="F121" s="17">
        <v>44588.086574074077</v>
      </c>
      <c r="G121" s="21">
        <v>-7</v>
      </c>
      <c r="H121" s="4">
        <f t="shared" si="7"/>
        <v>44587.794907407413</v>
      </c>
      <c r="I121" s="3">
        <v>2.3999999999999998E-3</v>
      </c>
      <c r="J121" s="3">
        <v>13100</v>
      </c>
      <c r="K121" s="3">
        <f t="shared" si="6"/>
        <v>4.9218929254302094E-8</v>
      </c>
      <c r="L121" s="3">
        <v>311</v>
      </c>
      <c r="M121" s="3">
        <v>35</v>
      </c>
      <c r="N121" s="3" t="s">
        <v>1334</v>
      </c>
      <c r="O121" s="3">
        <v>32.060600000000001</v>
      </c>
      <c r="P121" s="3">
        <v>-109.5201</v>
      </c>
      <c r="Q121" s="3">
        <v>33300</v>
      </c>
      <c r="R121" s="3">
        <v>33300</v>
      </c>
      <c r="S121" s="3">
        <v>13100</v>
      </c>
      <c r="T121" s="3">
        <v>35</v>
      </c>
      <c r="U121" s="3">
        <v>33300</v>
      </c>
      <c r="V121" s="3" t="s">
        <v>144</v>
      </c>
      <c r="W121" s="3" t="s">
        <v>382</v>
      </c>
      <c r="X121" s="3">
        <v>0</v>
      </c>
      <c r="Y121" s="3">
        <v>60000</v>
      </c>
      <c r="Z121" s="3">
        <v>60000</v>
      </c>
      <c r="AA121" s="5">
        <v>655</v>
      </c>
      <c r="AB121" s="5">
        <v>2</v>
      </c>
      <c r="AC121" s="5">
        <v>4</v>
      </c>
      <c r="AD121" s="5">
        <v>0.03</v>
      </c>
      <c r="AE121" s="5">
        <v>0.03</v>
      </c>
      <c r="AF121" s="5">
        <v>1000</v>
      </c>
      <c r="AG121" s="5">
        <v>-1.5</v>
      </c>
      <c r="AH121" s="5">
        <v>1.5</v>
      </c>
      <c r="AI121" s="45">
        <v>0</v>
      </c>
      <c r="AJ121" s="45">
        <v>0</v>
      </c>
      <c r="AK121" s="45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5">
        <v>0</v>
      </c>
      <c r="AS121" s="54">
        <v>0</v>
      </c>
      <c r="AT121" s="52">
        <v>0</v>
      </c>
      <c r="AU121" s="52">
        <v>0</v>
      </c>
      <c r="AV121" s="52">
        <v>0</v>
      </c>
      <c r="AW121" s="38">
        <v>0</v>
      </c>
      <c r="AX121" s="38">
        <v>0</v>
      </c>
      <c r="AY121" s="38">
        <v>0</v>
      </c>
      <c r="AZ121" s="38">
        <v>0</v>
      </c>
      <c r="BA121" s="38">
        <v>0</v>
      </c>
      <c r="BB121" s="38">
        <v>0</v>
      </c>
      <c r="BC121" s="38">
        <v>3</v>
      </c>
      <c r="BD121" s="38">
        <v>0</v>
      </c>
      <c r="BE121" s="38">
        <v>0</v>
      </c>
      <c r="BF121" s="38">
        <v>0</v>
      </c>
      <c r="BG121" s="40">
        <v>3</v>
      </c>
      <c r="BH121" s="40" t="s">
        <v>1428</v>
      </c>
      <c r="BI121" s="40">
        <v>0</v>
      </c>
    </row>
    <row r="122" spans="1:61" x14ac:dyDescent="0.25">
      <c r="A122" s="6">
        <v>119</v>
      </c>
      <c r="B122" s="6" t="s">
        <v>1431</v>
      </c>
      <c r="C122" s="6" t="s">
        <v>1430</v>
      </c>
      <c r="D122" s="6" t="s">
        <v>1227</v>
      </c>
      <c r="E122" s="6" t="s">
        <v>4</v>
      </c>
      <c r="F122" s="17">
        <v>42523.455925925926</v>
      </c>
      <c r="G122" s="21">
        <v>-7</v>
      </c>
      <c r="H122" s="4">
        <f t="shared" si="7"/>
        <v>42523.164259259262</v>
      </c>
      <c r="I122" s="3">
        <v>12000</v>
      </c>
      <c r="J122" s="3">
        <v>18300</v>
      </c>
      <c r="K122" s="3">
        <f t="shared" si="6"/>
        <v>0.48024378585086042</v>
      </c>
      <c r="L122" s="3">
        <v>191</v>
      </c>
      <c r="M122" s="3">
        <v>45</v>
      </c>
      <c r="N122" s="3" t="s">
        <v>1334</v>
      </c>
      <c r="O122" s="3">
        <v>33.908769999999997</v>
      </c>
      <c r="P122" s="3">
        <v>-110.64364</v>
      </c>
      <c r="Q122" s="3">
        <v>27000</v>
      </c>
      <c r="R122" s="3">
        <v>27000</v>
      </c>
      <c r="S122" s="3">
        <v>5000</v>
      </c>
      <c r="T122" s="3">
        <v>45</v>
      </c>
      <c r="U122" s="3">
        <v>33000</v>
      </c>
      <c r="V122" s="3" t="s">
        <v>1433</v>
      </c>
      <c r="W122" s="3" t="s">
        <v>1432</v>
      </c>
      <c r="X122" s="3">
        <v>0</v>
      </c>
      <c r="Y122" s="3">
        <v>60000</v>
      </c>
      <c r="Z122" s="3">
        <v>60000</v>
      </c>
      <c r="AA122" s="5">
        <v>2000</v>
      </c>
      <c r="AB122" s="5">
        <v>1</v>
      </c>
      <c r="AC122" s="5">
        <v>5</v>
      </c>
      <c r="AD122" s="5">
        <v>5.0000000000000001E-4</v>
      </c>
      <c r="AE122" s="5">
        <v>5.0000000000000001E-4</v>
      </c>
      <c r="AF122" s="5">
        <v>3000</v>
      </c>
      <c r="AG122" s="5">
        <v>-1.5</v>
      </c>
      <c r="AH122" s="5">
        <v>1.5</v>
      </c>
      <c r="AI122" s="45">
        <v>0</v>
      </c>
      <c r="AJ122" s="45">
        <v>0</v>
      </c>
      <c r="AK122" s="45">
        <v>0</v>
      </c>
      <c r="AL122" s="23">
        <v>0</v>
      </c>
      <c r="AM122" s="23">
        <v>15</v>
      </c>
      <c r="AN122" s="23">
        <v>7.9500000000000001E-2</v>
      </c>
      <c r="AO122" s="23">
        <v>0</v>
      </c>
      <c r="AP122" s="23">
        <v>0</v>
      </c>
      <c r="AQ122" s="23">
        <v>0</v>
      </c>
      <c r="AR122" s="25">
        <v>0</v>
      </c>
      <c r="AS122" s="54">
        <v>0</v>
      </c>
      <c r="AT122" s="52">
        <v>0</v>
      </c>
      <c r="AU122" s="52">
        <v>0</v>
      </c>
      <c r="AV122" s="52">
        <v>0</v>
      </c>
      <c r="AW122" s="38">
        <v>0</v>
      </c>
      <c r="AX122" s="38">
        <v>0</v>
      </c>
      <c r="AY122" s="38">
        <v>0</v>
      </c>
      <c r="AZ122" s="38">
        <v>0</v>
      </c>
      <c r="BA122" s="38">
        <v>0</v>
      </c>
      <c r="BB122" s="38">
        <v>0</v>
      </c>
      <c r="BC122" s="38">
        <v>0</v>
      </c>
      <c r="BD122" s="38">
        <v>0</v>
      </c>
      <c r="BE122" s="38">
        <v>0</v>
      </c>
      <c r="BF122" s="38">
        <v>0</v>
      </c>
      <c r="BG122" s="40">
        <v>2</v>
      </c>
      <c r="BH122" s="40" t="s">
        <v>1416</v>
      </c>
      <c r="BI122" s="40">
        <v>0</v>
      </c>
    </row>
    <row r="123" spans="1:61" x14ac:dyDescent="0.25">
      <c r="A123" s="6">
        <v>120</v>
      </c>
      <c r="B123" s="6" t="s">
        <v>1434</v>
      </c>
      <c r="C123" s="6" t="s">
        <v>1435</v>
      </c>
      <c r="D123" s="6" t="s">
        <v>1434</v>
      </c>
      <c r="E123" s="6" t="s">
        <v>829</v>
      </c>
      <c r="F123" s="17">
        <v>44568.273611111108</v>
      </c>
      <c r="G123" s="21">
        <v>-6</v>
      </c>
      <c r="H123" s="4">
        <f t="shared" si="7"/>
        <v>44568.023611111108</v>
      </c>
      <c r="I123" s="3">
        <v>50</v>
      </c>
      <c r="J123" s="3">
        <v>20000</v>
      </c>
      <c r="K123" s="3">
        <f t="shared" si="6"/>
        <v>2.3900573613766726E-3</v>
      </c>
      <c r="L123" s="3">
        <v>0</v>
      </c>
      <c r="M123" s="3">
        <v>50</v>
      </c>
      <c r="N123" s="3" t="s">
        <v>1334</v>
      </c>
      <c r="O123" s="3">
        <v>21.3</v>
      </c>
      <c r="P123" s="3">
        <v>-102.7</v>
      </c>
      <c r="Q123" s="3">
        <v>30000</v>
      </c>
      <c r="R123" s="3">
        <v>30000</v>
      </c>
      <c r="S123" s="3">
        <v>20000</v>
      </c>
      <c r="T123" s="3">
        <v>50</v>
      </c>
      <c r="U123" s="3">
        <v>30000</v>
      </c>
      <c r="V123" s="3" t="s">
        <v>144</v>
      </c>
      <c r="W123" s="3" t="s">
        <v>382</v>
      </c>
      <c r="X123" s="3">
        <v>0</v>
      </c>
      <c r="Y123" s="3">
        <v>60000</v>
      </c>
      <c r="Z123" s="3">
        <v>60000</v>
      </c>
      <c r="AA123" s="5">
        <v>1500</v>
      </c>
      <c r="AB123" s="5">
        <v>3</v>
      </c>
      <c r="AC123" s="5">
        <v>5</v>
      </c>
      <c r="AD123" s="5">
        <v>7.4999999999999997E-3</v>
      </c>
      <c r="AE123" s="5">
        <v>0.05</v>
      </c>
      <c r="AF123" s="5">
        <v>1000</v>
      </c>
      <c r="AG123" s="5">
        <v>-1.5</v>
      </c>
      <c r="AH123" s="5">
        <v>1.5</v>
      </c>
      <c r="AI123" s="45">
        <v>0</v>
      </c>
      <c r="AJ123" s="45">
        <v>0</v>
      </c>
      <c r="AK123" s="45">
        <v>0</v>
      </c>
      <c r="AL123" s="23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5">
        <v>0</v>
      </c>
      <c r="AS123" s="54">
        <v>0</v>
      </c>
      <c r="AT123" s="52">
        <v>0</v>
      </c>
      <c r="AU123" s="52">
        <v>0</v>
      </c>
      <c r="AV123" s="52">
        <v>0</v>
      </c>
      <c r="AW123" s="38">
        <v>0</v>
      </c>
      <c r="AX123" s="38">
        <v>0</v>
      </c>
      <c r="AY123" s="38">
        <v>0</v>
      </c>
      <c r="AZ123" s="38">
        <v>0</v>
      </c>
      <c r="BA123" s="38">
        <v>0</v>
      </c>
      <c r="BB123" s="38">
        <v>0</v>
      </c>
      <c r="BC123" s="38">
        <v>0</v>
      </c>
      <c r="BD123" s="38">
        <v>0</v>
      </c>
      <c r="BE123" s="38">
        <v>0</v>
      </c>
      <c r="BF123" s="38">
        <v>0</v>
      </c>
      <c r="BG123" s="40">
        <v>0</v>
      </c>
      <c r="BH123" s="40" t="s">
        <v>1416</v>
      </c>
      <c r="BI123" s="40">
        <v>0</v>
      </c>
    </row>
    <row r="124" spans="1:61" x14ac:dyDescent="0.25">
      <c r="A124" s="6">
        <v>121</v>
      </c>
      <c r="B124" s="6" t="s">
        <v>1436</v>
      </c>
      <c r="C124" s="6" t="s">
        <v>1436</v>
      </c>
      <c r="D124" s="6" t="s">
        <v>1227</v>
      </c>
      <c r="E124" s="6" t="s">
        <v>4</v>
      </c>
      <c r="F124" s="17">
        <v>44287.459074074075</v>
      </c>
      <c r="G124" s="21">
        <v>-7</v>
      </c>
      <c r="H124" s="4">
        <f t="shared" si="7"/>
        <v>44287.167407407411</v>
      </c>
      <c r="I124" s="3">
        <v>10</v>
      </c>
      <c r="J124" s="3">
        <v>14010</v>
      </c>
      <c r="K124" s="3">
        <f t="shared" si="6"/>
        <v>2.3456034894837476E-4</v>
      </c>
      <c r="L124" s="3">
        <v>92</v>
      </c>
      <c r="M124" s="3">
        <v>14</v>
      </c>
      <c r="N124" s="3" t="s">
        <v>1334</v>
      </c>
      <c r="O124" s="3">
        <v>31.705424000000001</v>
      </c>
      <c r="P124" s="3">
        <v>-110.08614300000001</v>
      </c>
      <c r="Q124" s="3">
        <v>16401</v>
      </c>
      <c r="R124" s="3">
        <v>16041</v>
      </c>
      <c r="S124" s="3">
        <v>14010</v>
      </c>
      <c r="T124" s="3">
        <v>17</v>
      </c>
      <c r="U124" s="3">
        <v>16401</v>
      </c>
      <c r="V124" s="3" t="s">
        <v>1433</v>
      </c>
      <c r="W124" s="3" t="s">
        <v>382</v>
      </c>
      <c r="X124" s="3">
        <v>3050</v>
      </c>
      <c r="Y124" s="3">
        <v>60000</v>
      </c>
      <c r="Z124" s="3">
        <v>60000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-0.1</v>
      </c>
      <c r="AH124" s="5">
        <v>0.1</v>
      </c>
      <c r="AI124" s="45">
        <v>0</v>
      </c>
      <c r="AJ124" s="45">
        <v>0</v>
      </c>
      <c r="AK124" s="45">
        <v>0</v>
      </c>
      <c r="AL124" s="23">
        <v>0</v>
      </c>
      <c r="AM124" s="23">
        <v>0</v>
      </c>
      <c r="AN124" s="23">
        <v>0</v>
      </c>
      <c r="AO124" s="23">
        <v>0</v>
      </c>
      <c r="AP124" s="23">
        <v>0</v>
      </c>
      <c r="AQ124" s="23">
        <v>0</v>
      </c>
      <c r="AR124" s="25">
        <v>0</v>
      </c>
      <c r="AS124" s="54">
        <v>0</v>
      </c>
      <c r="AT124" s="52">
        <v>0</v>
      </c>
      <c r="AU124" s="52">
        <v>0</v>
      </c>
      <c r="AV124" s="52">
        <v>0</v>
      </c>
      <c r="AW124" s="38">
        <v>0</v>
      </c>
      <c r="AX124" s="38">
        <v>0</v>
      </c>
      <c r="AY124" s="38">
        <v>0</v>
      </c>
      <c r="AZ124" s="38">
        <v>0</v>
      </c>
      <c r="BA124" s="38">
        <v>0</v>
      </c>
      <c r="BB124" s="38">
        <v>0</v>
      </c>
      <c r="BC124" s="38">
        <v>3</v>
      </c>
      <c r="BD124" s="38">
        <v>0</v>
      </c>
      <c r="BE124" s="38">
        <v>0</v>
      </c>
      <c r="BF124" s="38">
        <v>0</v>
      </c>
      <c r="BG124" s="40">
        <v>4</v>
      </c>
      <c r="BH124" s="40" t="s">
        <v>1416</v>
      </c>
      <c r="BI124" s="40">
        <v>1</v>
      </c>
    </row>
    <row r="125" spans="1:61" x14ac:dyDescent="0.25">
      <c r="A125" s="6">
        <v>122</v>
      </c>
      <c r="B125" s="6" t="s">
        <v>1441</v>
      </c>
      <c r="C125" s="6" t="s">
        <v>1441</v>
      </c>
      <c r="D125" s="6" t="s">
        <v>101</v>
      </c>
      <c r="E125" s="6" t="s">
        <v>103</v>
      </c>
      <c r="F125" s="17">
        <v>44669.150694444441</v>
      </c>
      <c r="G125" s="21">
        <v>-4</v>
      </c>
      <c r="H125" s="4">
        <f t="shared" si="7"/>
        <v>44668.984027777777</v>
      </c>
      <c r="I125" s="3">
        <v>10</v>
      </c>
      <c r="J125" s="3">
        <v>14360</v>
      </c>
      <c r="K125" s="3">
        <f t="shared" si="6"/>
        <v>2.464263862332696E-4</v>
      </c>
      <c r="L125" s="3">
        <v>12.624000000000001</v>
      </c>
      <c r="M125" s="3">
        <v>29.413499999999999</v>
      </c>
      <c r="N125" s="3" t="s">
        <v>1334</v>
      </c>
      <c r="O125" s="3">
        <v>44.436048999999997</v>
      </c>
      <c r="P125" s="3">
        <v>-79.100116999999997</v>
      </c>
      <c r="Q125" s="3">
        <v>28642</v>
      </c>
      <c r="R125" s="3">
        <v>28642</v>
      </c>
      <c r="S125" s="3">
        <v>14360</v>
      </c>
      <c r="T125" s="3">
        <v>60.586500000000001</v>
      </c>
      <c r="U125" s="3">
        <v>28642</v>
      </c>
      <c r="V125" s="3" t="s">
        <v>144</v>
      </c>
      <c r="W125" s="3" t="s">
        <v>382</v>
      </c>
      <c r="X125" s="3">
        <v>0</v>
      </c>
      <c r="Y125" s="3">
        <v>60000</v>
      </c>
      <c r="Z125" s="3">
        <v>60000</v>
      </c>
      <c r="AA125" s="5">
        <v>100</v>
      </c>
      <c r="AB125" s="5">
        <v>0.28420000000000001</v>
      </c>
      <c r="AC125" s="5">
        <v>0.13539999999999999</v>
      </c>
      <c r="AD125" s="5">
        <v>4.5100000000000001E-4</v>
      </c>
      <c r="AE125" s="5">
        <v>6.4300000000000002E-4</v>
      </c>
      <c r="AF125" s="5">
        <v>50</v>
      </c>
      <c r="AG125" s="5">
        <v>-1.5</v>
      </c>
      <c r="AH125" s="5">
        <v>1.5</v>
      </c>
      <c r="AI125" s="45">
        <v>0</v>
      </c>
      <c r="AJ125" s="45">
        <v>0</v>
      </c>
      <c r="AK125" s="45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5">
        <v>0</v>
      </c>
      <c r="AS125" s="54">
        <v>0</v>
      </c>
      <c r="AT125" s="52">
        <v>0</v>
      </c>
      <c r="AU125" s="52">
        <v>0</v>
      </c>
      <c r="AV125" s="52">
        <v>0</v>
      </c>
      <c r="AW125" s="38">
        <v>0</v>
      </c>
      <c r="AX125" s="38">
        <v>0</v>
      </c>
      <c r="AY125" s="38">
        <v>0</v>
      </c>
      <c r="AZ125" s="38">
        <v>0</v>
      </c>
      <c r="BA125" s="38">
        <v>0</v>
      </c>
      <c r="BB125" s="38">
        <v>0</v>
      </c>
      <c r="BC125" s="38">
        <v>0</v>
      </c>
      <c r="BD125" s="38">
        <v>0</v>
      </c>
      <c r="BE125" s="38">
        <v>0</v>
      </c>
      <c r="BF125" s="38">
        <v>0</v>
      </c>
      <c r="BG125" s="40">
        <v>3</v>
      </c>
      <c r="BH125" s="40" t="s">
        <v>1437</v>
      </c>
      <c r="BI125" s="40">
        <v>0</v>
      </c>
    </row>
    <row r="126" spans="1:61" x14ac:dyDescent="0.25">
      <c r="A126" s="6">
        <v>123</v>
      </c>
      <c r="B126" s="6" t="s">
        <v>1440</v>
      </c>
      <c r="C126" s="6" t="s">
        <v>1440</v>
      </c>
      <c r="D126" s="6" t="s">
        <v>1439</v>
      </c>
      <c r="E126" s="6" t="s">
        <v>1371</v>
      </c>
      <c r="F126" s="17">
        <v>44664.98982638889</v>
      </c>
      <c r="G126" s="21">
        <v>0</v>
      </c>
      <c r="H126" s="4">
        <f t="shared" si="7"/>
        <v>44664.98982638889</v>
      </c>
      <c r="I126" s="3">
        <v>10</v>
      </c>
      <c r="J126" s="3">
        <v>12897.75</v>
      </c>
      <c r="K126" s="3">
        <f t="shared" si="6"/>
        <v>1.987953573882648E-4</v>
      </c>
      <c r="L126" s="3">
        <v>85.243499999999997</v>
      </c>
      <c r="M126" s="3">
        <v>45.871899999999997</v>
      </c>
      <c r="N126" s="3" t="s">
        <v>1334</v>
      </c>
      <c r="O126" s="3">
        <v>52.665610000000001</v>
      </c>
      <c r="P126" s="3">
        <v>-2.8727740000000002</v>
      </c>
      <c r="Q126" s="3">
        <v>23256.99</v>
      </c>
      <c r="R126" s="3">
        <v>23256.99</v>
      </c>
      <c r="S126" s="3">
        <v>12632.66</v>
      </c>
      <c r="T126" s="3">
        <v>45.871899999999997</v>
      </c>
      <c r="U126" s="3">
        <v>23256.99</v>
      </c>
      <c r="V126" s="3" t="s">
        <v>144</v>
      </c>
      <c r="W126" s="3" t="s">
        <v>382</v>
      </c>
      <c r="X126" s="3">
        <v>0</v>
      </c>
      <c r="Y126" s="3">
        <v>60000</v>
      </c>
      <c r="Z126" s="3">
        <v>60000</v>
      </c>
      <c r="AA126" s="5">
        <v>4.3</v>
      </c>
      <c r="AB126" s="5">
        <v>8.0199999999999994E-2</v>
      </c>
      <c r="AC126" s="5">
        <v>7.2999999999999995E-2</v>
      </c>
      <c r="AD126" s="5">
        <v>2.9999999999999997E-4</v>
      </c>
      <c r="AE126" s="5">
        <v>4.0000000000000003E-5</v>
      </c>
      <c r="AF126" s="5">
        <v>13.15</v>
      </c>
      <c r="AG126" s="5">
        <v>-1.5</v>
      </c>
      <c r="AH126" s="5">
        <v>1.5</v>
      </c>
      <c r="AI126" s="45">
        <v>0</v>
      </c>
      <c r="AJ126" s="45">
        <v>0</v>
      </c>
      <c r="AK126" s="45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5">
        <v>0</v>
      </c>
      <c r="AS126" s="54">
        <v>0</v>
      </c>
      <c r="AT126" s="52">
        <v>0</v>
      </c>
      <c r="AU126" s="52">
        <v>0</v>
      </c>
      <c r="AV126" s="52">
        <v>0</v>
      </c>
      <c r="AW126" s="38">
        <v>0</v>
      </c>
      <c r="AX126" s="38">
        <v>0</v>
      </c>
      <c r="AY126" s="38">
        <v>0</v>
      </c>
      <c r="AZ126" s="38">
        <v>0</v>
      </c>
      <c r="BA126" s="38">
        <v>0</v>
      </c>
      <c r="BB126" s="38">
        <v>0</v>
      </c>
      <c r="BC126" s="38">
        <v>0</v>
      </c>
      <c r="BD126" s="38">
        <v>0</v>
      </c>
      <c r="BE126" s="38">
        <v>0</v>
      </c>
      <c r="BF126" s="38">
        <v>0</v>
      </c>
      <c r="BG126" s="40">
        <v>3</v>
      </c>
      <c r="BH126" s="40" t="s">
        <v>1438</v>
      </c>
      <c r="BI126" s="40">
        <v>0</v>
      </c>
    </row>
    <row r="127" spans="1:61" x14ac:dyDescent="0.25">
      <c r="A127" s="6">
        <v>124</v>
      </c>
      <c r="B127" s="6" t="s">
        <v>1442</v>
      </c>
      <c r="C127" s="6" t="s">
        <v>1443</v>
      </c>
      <c r="D127" s="6" t="s">
        <v>1444</v>
      </c>
      <c r="E127" s="6" t="s">
        <v>538</v>
      </c>
      <c r="F127" s="17">
        <v>44672.927407407406</v>
      </c>
      <c r="G127" s="21">
        <v>-3</v>
      </c>
      <c r="H127" s="4">
        <f t="shared" si="7"/>
        <v>44672.802407407406</v>
      </c>
      <c r="I127" s="3">
        <v>6697</v>
      </c>
      <c r="J127" s="3">
        <v>12750</v>
      </c>
      <c r="K127" s="3">
        <f t="shared" si="6"/>
        <v>0.13010050938097514</v>
      </c>
      <c r="L127" s="3">
        <v>178.2</v>
      </c>
      <c r="M127" s="3">
        <v>41</v>
      </c>
      <c r="N127" s="3" t="s">
        <v>1334</v>
      </c>
      <c r="O127" s="3">
        <v>-55.5</v>
      </c>
      <c r="P127" s="3">
        <v>-68.900000000000006</v>
      </c>
      <c r="Q127" s="3">
        <v>28400</v>
      </c>
      <c r="R127" s="3">
        <v>28400</v>
      </c>
      <c r="S127" s="3">
        <v>12750</v>
      </c>
      <c r="T127" s="3">
        <v>41</v>
      </c>
      <c r="U127" s="3">
        <v>25000</v>
      </c>
      <c r="V127" s="3" t="s">
        <v>144</v>
      </c>
      <c r="W127" s="3" t="s">
        <v>382</v>
      </c>
      <c r="X127" s="3">
        <v>0</v>
      </c>
      <c r="Y127" s="3">
        <v>60000</v>
      </c>
      <c r="Z127" s="3">
        <v>60000</v>
      </c>
      <c r="AA127" s="5">
        <v>1000</v>
      </c>
      <c r="AB127" s="5">
        <v>2</v>
      </c>
      <c r="AC127" s="5">
        <v>2</v>
      </c>
      <c r="AD127" s="5">
        <v>0.05</v>
      </c>
      <c r="AE127" s="5">
        <v>0.05</v>
      </c>
      <c r="AF127" s="5">
        <v>1000</v>
      </c>
      <c r="AG127" s="5">
        <v>-1.5</v>
      </c>
      <c r="AH127" s="5">
        <v>1.5</v>
      </c>
      <c r="AI127" s="45">
        <v>0</v>
      </c>
      <c r="AJ127" s="45">
        <v>0</v>
      </c>
      <c r="AK127" s="45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5">
        <v>0</v>
      </c>
      <c r="AS127" s="54">
        <v>0</v>
      </c>
      <c r="AT127" s="52">
        <v>0</v>
      </c>
      <c r="AU127" s="52">
        <v>0</v>
      </c>
      <c r="AV127" s="52">
        <v>0</v>
      </c>
      <c r="AW127" s="38">
        <v>0</v>
      </c>
      <c r="AX127" s="38">
        <v>0</v>
      </c>
      <c r="AY127" s="38">
        <v>0</v>
      </c>
      <c r="AZ127" s="38">
        <v>0</v>
      </c>
      <c r="BA127" s="38">
        <v>0</v>
      </c>
      <c r="BB127" s="38">
        <v>0</v>
      </c>
      <c r="BC127" s="38">
        <v>0</v>
      </c>
      <c r="BD127" s="38">
        <v>0</v>
      </c>
      <c r="BE127" s="38">
        <v>0</v>
      </c>
      <c r="BF127" s="38">
        <v>0</v>
      </c>
      <c r="BG127" s="40">
        <v>2</v>
      </c>
      <c r="BH127" s="40" t="s">
        <v>1416</v>
      </c>
      <c r="BI127" s="40">
        <v>0</v>
      </c>
    </row>
    <row r="128" spans="1:61" x14ac:dyDescent="0.25">
      <c r="A128" s="6">
        <v>125</v>
      </c>
      <c r="B128" s="6" t="s">
        <v>1445</v>
      </c>
      <c r="C128" s="6" t="s">
        <v>1445</v>
      </c>
      <c r="D128" s="6" t="s">
        <v>1445</v>
      </c>
      <c r="E128" s="6" t="s">
        <v>1037</v>
      </c>
      <c r="F128" s="17">
        <v>44631.890810185185</v>
      </c>
      <c r="G128" s="21">
        <v>2</v>
      </c>
      <c r="H128" s="4">
        <f t="shared" si="7"/>
        <v>44631.974143518521</v>
      </c>
      <c r="I128" s="3">
        <v>112618</v>
      </c>
      <c r="J128" s="3">
        <v>17240</v>
      </c>
      <c r="K128" s="3">
        <f t="shared" si="6"/>
        <v>4.0000061755258125</v>
      </c>
      <c r="L128" s="3">
        <v>309.8</v>
      </c>
      <c r="M128" s="3">
        <v>32.200000000000003</v>
      </c>
      <c r="N128" s="3" t="s">
        <v>1334</v>
      </c>
      <c r="O128" s="3">
        <v>70</v>
      </c>
      <c r="P128" s="3">
        <v>-9.1</v>
      </c>
      <c r="Q128" s="3">
        <v>33300</v>
      </c>
      <c r="R128" s="3">
        <v>33300</v>
      </c>
      <c r="S128" s="3">
        <v>17240</v>
      </c>
      <c r="T128" s="3">
        <v>32.200000000000003</v>
      </c>
      <c r="U128" s="3">
        <v>25000</v>
      </c>
      <c r="V128" s="3" t="s">
        <v>144</v>
      </c>
      <c r="W128" s="3" t="s">
        <v>382</v>
      </c>
      <c r="X128" s="3">
        <v>0</v>
      </c>
      <c r="Y128" s="3">
        <v>60000</v>
      </c>
      <c r="Z128" s="3">
        <v>60000</v>
      </c>
      <c r="AA128" s="5">
        <v>1000</v>
      </c>
      <c r="AB128" s="5">
        <v>2</v>
      </c>
      <c r="AC128" s="5">
        <v>2</v>
      </c>
      <c r="AD128" s="5">
        <v>0.05</v>
      </c>
      <c r="AE128" s="5">
        <v>0.05</v>
      </c>
      <c r="AF128" s="5">
        <v>1000</v>
      </c>
      <c r="AG128" s="5">
        <v>-1.5</v>
      </c>
      <c r="AH128" s="5">
        <v>1.5</v>
      </c>
      <c r="AI128" s="45">
        <v>0</v>
      </c>
      <c r="AJ128" s="45">
        <v>0</v>
      </c>
      <c r="AK128" s="45">
        <v>0</v>
      </c>
      <c r="AL128" s="23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5">
        <v>0</v>
      </c>
      <c r="AS128" s="54">
        <v>0</v>
      </c>
      <c r="AT128" s="52">
        <v>0</v>
      </c>
      <c r="AU128" s="52">
        <v>0</v>
      </c>
      <c r="AV128" s="52">
        <v>0</v>
      </c>
      <c r="AW128" s="38">
        <v>0</v>
      </c>
      <c r="AX128" s="38">
        <v>0</v>
      </c>
      <c r="AY128" s="38">
        <v>0</v>
      </c>
      <c r="AZ128" s="38">
        <v>0</v>
      </c>
      <c r="BA128" s="38">
        <v>0</v>
      </c>
      <c r="BB128" s="38">
        <v>0</v>
      </c>
      <c r="BC128" s="38">
        <v>0</v>
      </c>
      <c r="BD128" s="38">
        <v>0</v>
      </c>
      <c r="BE128" s="38">
        <v>0</v>
      </c>
      <c r="BF128" s="38">
        <v>0</v>
      </c>
      <c r="BG128" s="40">
        <v>2</v>
      </c>
      <c r="BH128" s="40" t="s">
        <v>1416</v>
      </c>
      <c r="BI128" s="40">
        <v>0</v>
      </c>
    </row>
    <row r="129" spans="1:61" x14ac:dyDescent="0.25">
      <c r="A129" s="6">
        <v>126</v>
      </c>
      <c r="B129" s="6" t="s">
        <v>1446</v>
      </c>
      <c r="C129" s="6" t="s">
        <v>1446</v>
      </c>
      <c r="D129" s="6" t="s">
        <v>1447</v>
      </c>
      <c r="E129" s="6" t="s">
        <v>100</v>
      </c>
      <c r="F129" s="17">
        <v>44595.826851851853</v>
      </c>
      <c r="G129" s="21">
        <v>10</v>
      </c>
      <c r="H129" s="4">
        <f t="shared" si="7"/>
        <v>44596.243518518517</v>
      </c>
      <c r="I129" s="3">
        <v>7074</v>
      </c>
      <c r="J129" s="3">
        <v>22810</v>
      </c>
      <c r="K129" s="3">
        <f t="shared" si="6"/>
        <v>0.43983922220363286</v>
      </c>
      <c r="L129" s="3">
        <v>236.2</v>
      </c>
      <c r="M129" s="3">
        <v>76.7</v>
      </c>
      <c r="N129" s="3" t="s">
        <v>1334</v>
      </c>
      <c r="O129" s="3">
        <v>-13.3</v>
      </c>
      <c r="P129" s="3">
        <v>142.19999999999999</v>
      </c>
      <c r="Q129" s="3">
        <v>3600</v>
      </c>
      <c r="R129" s="3">
        <v>36000</v>
      </c>
      <c r="S129" s="3">
        <v>22810</v>
      </c>
      <c r="T129" s="3">
        <v>76.7</v>
      </c>
      <c r="U129" s="3">
        <v>25000</v>
      </c>
      <c r="V129" s="3" t="s">
        <v>144</v>
      </c>
      <c r="W129" s="3" t="s">
        <v>382</v>
      </c>
      <c r="X129" s="3">
        <v>0</v>
      </c>
      <c r="Y129" s="3">
        <v>60000</v>
      </c>
      <c r="Z129" s="3">
        <v>60000</v>
      </c>
      <c r="AA129" s="5">
        <v>1000</v>
      </c>
      <c r="AB129" s="5">
        <v>2</v>
      </c>
      <c r="AC129" s="5">
        <v>2</v>
      </c>
      <c r="AD129" s="5">
        <v>0.05</v>
      </c>
      <c r="AE129" s="5">
        <v>0.05</v>
      </c>
      <c r="AF129" s="5">
        <v>1000</v>
      </c>
      <c r="AG129" s="5">
        <v>-1.5</v>
      </c>
      <c r="AH129" s="5">
        <v>1.5</v>
      </c>
      <c r="AI129" s="45">
        <v>0</v>
      </c>
      <c r="AJ129" s="45">
        <v>0</v>
      </c>
      <c r="AK129" s="45">
        <v>0</v>
      </c>
      <c r="AL129" s="23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0</v>
      </c>
      <c r="AR129" s="25">
        <v>0</v>
      </c>
      <c r="AS129" s="54">
        <v>0</v>
      </c>
      <c r="AT129" s="52">
        <v>0</v>
      </c>
      <c r="AU129" s="52">
        <v>0</v>
      </c>
      <c r="AV129" s="52">
        <v>0</v>
      </c>
      <c r="AW129" s="38">
        <v>0</v>
      </c>
      <c r="AX129" s="38">
        <v>0</v>
      </c>
      <c r="AY129" s="38">
        <v>0</v>
      </c>
      <c r="AZ129" s="38">
        <v>0</v>
      </c>
      <c r="BA129" s="38">
        <v>0</v>
      </c>
      <c r="BB129" s="38">
        <v>0</v>
      </c>
      <c r="BC129" s="38">
        <v>0</v>
      </c>
      <c r="BD129" s="38">
        <v>0</v>
      </c>
      <c r="BE129" s="38">
        <v>0</v>
      </c>
      <c r="BF129" s="38">
        <v>0</v>
      </c>
      <c r="BG129" s="40">
        <v>2</v>
      </c>
      <c r="BH129" s="40" t="s">
        <v>1416</v>
      </c>
      <c r="BI129" s="40">
        <v>0</v>
      </c>
    </row>
    <row r="130" spans="1:61" x14ac:dyDescent="0.25">
      <c r="A130" s="6">
        <v>127</v>
      </c>
      <c r="B130" s="6" t="s">
        <v>1448</v>
      </c>
      <c r="C130" s="6" t="s">
        <v>1448</v>
      </c>
      <c r="D130" s="6" t="s">
        <v>1449</v>
      </c>
      <c r="E130" s="6" t="s">
        <v>4</v>
      </c>
      <c r="F130" s="17">
        <v>44678.543749999997</v>
      </c>
      <c r="G130" s="21">
        <v>-5</v>
      </c>
      <c r="H130" s="4">
        <f t="shared" si="7"/>
        <v>44678.335416666661</v>
      </c>
      <c r="I130" s="3">
        <v>70</v>
      </c>
      <c r="J130" s="3">
        <v>24000</v>
      </c>
      <c r="K130" s="3">
        <f t="shared" si="6"/>
        <v>4.8183556405353729E-3</v>
      </c>
      <c r="L130" s="3">
        <v>220</v>
      </c>
      <c r="M130" s="3">
        <v>45</v>
      </c>
      <c r="N130" s="3" t="s">
        <v>1334</v>
      </c>
      <c r="O130" s="3">
        <v>31.604500999999999</v>
      </c>
      <c r="P130" s="3">
        <v>-91.188947999999996</v>
      </c>
      <c r="Q130" s="3">
        <v>28100</v>
      </c>
      <c r="R130" s="3">
        <v>28100</v>
      </c>
      <c r="S130" s="3">
        <v>4000</v>
      </c>
      <c r="T130" s="3">
        <v>45</v>
      </c>
      <c r="U130" s="3">
        <v>27000</v>
      </c>
      <c r="V130" s="3" t="s">
        <v>115</v>
      </c>
      <c r="W130" s="3" t="s">
        <v>382</v>
      </c>
      <c r="X130" s="3">
        <v>0</v>
      </c>
      <c r="Y130" s="3">
        <v>60000</v>
      </c>
      <c r="Z130" s="3">
        <v>60000</v>
      </c>
      <c r="AA130" s="5">
        <v>5000</v>
      </c>
      <c r="AB130" s="5">
        <v>2</v>
      </c>
      <c r="AC130" s="5">
        <v>2</v>
      </c>
      <c r="AD130" s="5">
        <v>7.0000000000000001E-3</v>
      </c>
      <c r="AE130" s="5">
        <v>0.01</v>
      </c>
      <c r="AF130" s="5">
        <v>1000</v>
      </c>
      <c r="AG130" s="5">
        <v>-1.5</v>
      </c>
      <c r="AH130" s="5">
        <v>1.5</v>
      </c>
      <c r="AI130" s="45">
        <v>0</v>
      </c>
      <c r="AJ130" s="45">
        <v>0</v>
      </c>
      <c r="AK130" s="45">
        <v>0</v>
      </c>
      <c r="AL130" s="23">
        <v>0</v>
      </c>
      <c r="AM130" s="23">
        <v>20</v>
      </c>
      <c r="AN130" s="23">
        <v>1</v>
      </c>
      <c r="AO130" s="23">
        <v>0</v>
      </c>
      <c r="AP130" s="23">
        <v>0</v>
      </c>
      <c r="AQ130" s="23">
        <v>0</v>
      </c>
      <c r="AR130" s="25">
        <v>0</v>
      </c>
      <c r="AS130" s="54">
        <v>0</v>
      </c>
      <c r="AT130" s="52">
        <v>0</v>
      </c>
      <c r="AU130" s="52">
        <v>0</v>
      </c>
      <c r="AV130" s="52">
        <v>0</v>
      </c>
      <c r="AW130" s="38">
        <v>0</v>
      </c>
      <c r="AX130" s="38">
        <v>0</v>
      </c>
      <c r="AY130" s="38">
        <v>0</v>
      </c>
      <c r="AZ130" s="38">
        <v>0</v>
      </c>
      <c r="BA130" s="38">
        <v>0</v>
      </c>
      <c r="BB130" s="38">
        <v>0</v>
      </c>
      <c r="BC130" s="38">
        <v>0</v>
      </c>
      <c r="BD130" s="38">
        <v>0</v>
      </c>
      <c r="BE130" s="38">
        <v>0</v>
      </c>
      <c r="BF130" s="38">
        <v>0</v>
      </c>
      <c r="BG130" s="40">
        <v>1</v>
      </c>
      <c r="BH130" s="40" t="s">
        <v>1416</v>
      </c>
      <c r="BI130" s="40">
        <v>0</v>
      </c>
    </row>
    <row r="131" spans="1:61" x14ac:dyDescent="0.25">
      <c r="A131" s="6">
        <v>128</v>
      </c>
      <c r="B131" s="6" t="s">
        <v>1468</v>
      </c>
      <c r="E131" s="6" t="s">
        <v>883</v>
      </c>
      <c r="F131" s="17">
        <v>22922</v>
      </c>
      <c r="O131" s="3">
        <v>11.7333</v>
      </c>
      <c r="P131" s="3">
        <v>7.0833000000000004</v>
      </c>
      <c r="AR131" s="25">
        <v>0</v>
      </c>
      <c r="AS131" s="54">
        <v>0</v>
      </c>
      <c r="AT131" s="52">
        <v>0</v>
      </c>
      <c r="AU131" s="52">
        <v>0</v>
      </c>
      <c r="AV131" s="52">
        <v>0</v>
      </c>
    </row>
    <row r="132" spans="1:61" x14ac:dyDescent="0.25">
      <c r="A132" s="6">
        <v>129</v>
      </c>
      <c r="B132" s="6" t="s">
        <v>1470</v>
      </c>
      <c r="C132" s="6" t="s">
        <v>1470</v>
      </c>
      <c r="D132" s="6" t="s">
        <v>1439</v>
      </c>
      <c r="E132" s="6" t="s">
        <v>1371</v>
      </c>
      <c r="F132" s="17">
        <v>44697.864131944443</v>
      </c>
      <c r="G132" s="21">
        <v>0</v>
      </c>
      <c r="H132" s="4">
        <f t="shared" ref="H132:H151" si="8">F132+G132/24</f>
        <v>44697.864131944443</v>
      </c>
      <c r="I132" s="3">
        <v>0.5</v>
      </c>
      <c r="J132" s="3">
        <v>21350</v>
      </c>
      <c r="K132" s="3">
        <f t="shared" ref="K132:K145" si="9">I132*J132^2/2/4.184/10^12</f>
        <v>2.7236048040152963E-5</v>
      </c>
      <c r="L132" s="3">
        <v>326.36</v>
      </c>
      <c r="M132" s="3">
        <v>68</v>
      </c>
      <c r="N132" s="3" t="s">
        <v>1334</v>
      </c>
      <c r="O132" s="3">
        <v>50.954185000000003</v>
      </c>
      <c r="P132" s="3">
        <v>-2.5748359999999999</v>
      </c>
      <c r="Q132" s="3">
        <v>41000</v>
      </c>
      <c r="R132" s="3">
        <v>41000</v>
      </c>
      <c r="S132" s="3">
        <v>13000</v>
      </c>
      <c r="T132" s="3">
        <v>68</v>
      </c>
      <c r="U132" s="3">
        <v>41000</v>
      </c>
      <c r="V132" s="3" t="s">
        <v>144</v>
      </c>
      <c r="W132" s="3" t="s">
        <v>382</v>
      </c>
      <c r="X132" s="3">
        <v>0</v>
      </c>
      <c r="Y132" s="3">
        <v>60000</v>
      </c>
      <c r="Z132" s="3">
        <v>60000</v>
      </c>
      <c r="AA132" s="5">
        <v>200</v>
      </c>
      <c r="AB132" s="5">
        <v>1</v>
      </c>
      <c r="AC132" s="5">
        <v>2</v>
      </c>
      <c r="AD132" s="5">
        <v>5.0000000000000001E-4</v>
      </c>
      <c r="AE132" s="5">
        <v>5.0000000000000001E-4</v>
      </c>
      <c r="AF132" s="5">
        <v>150</v>
      </c>
      <c r="AG132" s="5">
        <v>-1.5</v>
      </c>
      <c r="AH132" s="5">
        <v>1.5</v>
      </c>
      <c r="AI132" s="45">
        <v>0</v>
      </c>
      <c r="AJ132" s="45">
        <v>0</v>
      </c>
      <c r="AK132" s="45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5">
        <v>0</v>
      </c>
      <c r="AS132" s="54">
        <v>0</v>
      </c>
      <c r="AT132" s="52">
        <v>0</v>
      </c>
      <c r="AU132" s="52">
        <v>0</v>
      </c>
      <c r="AV132" s="52">
        <v>0</v>
      </c>
      <c r="AW132" s="38">
        <v>0</v>
      </c>
      <c r="AX132" s="38">
        <v>0</v>
      </c>
      <c r="AY132" s="38">
        <v>0</v>
      </c>
      <c r="AZ132" s="38">
        <v>0</v>
      </c>
      <c r="BA132" s="38">
        <v>0</v>
      </c>
      <c r="BB132" s="38">
        <v>0</v>
      </c>
      <c r="BC132" s="38">
        <v>0</v>
      </c>
      <c r="BD132" s="38">
        <v>0</v>
      </c>
      <c r="BE132" s="38">
        <v>0</v>
      </c>
      <c r="BF132" s="38">
        <v>0</v>
      </c>
      <c r="BG132" s="40">
        <v>3</v>
      </c>
      <c r="BH132" s="40" t="s">
        <v>1469</v>
      </c>
      <c r="BI132" s="40">
        <v>0</v>
      </c>
    </row>
    <row r="133" spans="1:61" x14ac:dyDescent="0.25">
      <c r="A133" s="6">
        <v>130</v>
      </c>
      <c r="B133" s="6" t="s">
        <v>1471</v>
      </c>
      <c r="C133" s="6" t="s">
        <v>1471</v>
      </c>
      <c r="D133" s="6" t="s">
        <v>1472</v>
      </c>
      <c r="E133" s="6" t="s">
        <v>1371</v>
      </c>
      <c r="F133" s="17">
        <v>44692.986111111109</v>
      </c>
      <c r="G133" s="21">
        <v>0</v>
      </c>
      <c r="H133" s="4">
        <f t="shared" si="8"/>
        <v>44692.986111111109</v>
      </c>
      <c r="I133" s="3">
        <v>10</v>
      </c>
      <c r="J133" s="3">
        <v>27900</v>
      </c>
      <c r="K133" s="3">
        <f t="shared" si="9"/>
        <v>9.3022227533460795E-4</v>
      </c>
      <c r="L133" s="3">
        <v>345.86219999999997</v>
      </c>
      <c r="M133" s="3">
        <v>66.708299999999994</v>
      </c>
      <c r="N133" s="3" t="s">
        <v>1334</v>
      </c>
      <c r="O133" s="3">
        <v>51.3157</v>
      </c>
      <c r="P133" s="3">
        <v>-3.4769999999999999</v>
      </c>
      <c r="Q133" s="3">
        <v>35000</v>
      </c>
      <c r="R133" s="3">
        <v>35000</v>
      </c>
      <c r="S133" s="3">
        <v>15000</v>
      </c>
      <c r="T133" s="3">
        <v>23.28</v>
      </c>
      <c r="U133" s="3">
        <v>35000</v>
      </c>
      <c r="V133" s="3" t="s">
        <v>144</v>
      </c>
      <c r="W133" s="3" t="s">
        <v>382</v>
      </c>
      <c r="X133" s="3">
        <v>0</v>
      </c>
      <c r="Y133" s="3">
        <v>60000</v>
      </c>
      <c r="Z133" s="3">
        <v>60000</v>
      </c>
      <c r="AA133" s="5">
        <v>200</v>
      </c>
      <c r="AB133" s="5">
        <v>0.4</v>
      </c>
      <c r="AC133" s="5">
        <v>0.4</v>
      </c>
      <c r="AD133" s="5">
        <v>3.0000000000000001E-3</v>
      </c>
      <c r="AE133" s="5">
        <v>3.0000000000000001E-3</v>
      </c>
      <c r="AF133" s="5">
        <v>250</v>
      </c>
      <c r="AG133" s="5">
        <v>-1.5</v>
      </c>
      <c r="AH133" s="5">
        <v>1.5</v>
      </c>
      <c r="AI133" s="45">
        <v>0</v>
      </c>
      <c r="AJ133" s="45">
        <v>0</v>
      </c>
      <c r="AK133" s="45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5">
        <v>0</v>
      </c>
      <c r="AS133" s="54">
        <v>0</v>
      </c>
      <c r="AT133" s="52">
        <v>0</v>
      </c>
      <c r="AU133" s="52">
        <v>0</v>
      </c>
      <c r="AV133" s="52">
        <v>0</v>
      </c>
      <c r="AW133" s="38">
        <v>0</v>
      </c>
      <c r="AX133" s="38">
        <v>0</v>
      </c>
      <c r="AY133" s="38">
        <v>0</v>
      </c>
      <c r="AZ133" s="38">
        <v>0</v>
      </c>
      <c r="BA133" s="38">
        <v>0</v>
      </c>
      <c r="BB133" s="38">
        <v>0</v>
      </c>
      <c r="BC133" s="38">
        <v>0</v>
      </c>
      <c r="BD133" s="38">
        <v>0</v>
      </c>
      <c r="BE133" s="38">
        <v>0</v>
      </c>
      <c r="BF133" s="38">
        <v>0</v>
      </c>
      <c r="BG133" s="40">
        <v>3</v>
      </c>
      <c r="BH133" s="40" t="s">
        <v>1469</v>
      </c>
      <c r="BI133" s="40">
        <v>0</v>
      </c>
    </row>
    <row r="134" spans="1:61" x14ac:dyDescent="0.25">
      <c r="A134" s="6">
        <v>131</v>
      </c>
      <c r="B134" s="6" t="s">
        <v>1473</v>
      </c>
      <c r="C134" s="6" t="s">
        <v>1473</v>
      </c>
      <c r="D134" s="6" t="s">
        <v>1474</v>
      </c>
      <c r="E134" s="6" t="s">
        <v>829</v>
      </c>
      <c r="F134" s="17">
        <v>44701.212685185186</v>
      </c>
      <c r="G134" s="21">
        <v>-7</v>
      </c>
      <c r="H134" s="4">
        <f t="shared" si="8"/>
        <v>44700.921018518522</v>
      </c>
      <c r="I134" s="3">
        <v>1</v>
      </c>
      <c r="J134" s="3">
        <v>15160</v>
      </c>
      <c r="K134" s="3">
        <f t="shared" si="9"/>
        <v>2.7464818355640533E-5</v>
      </c>
      <c r="L134" s="3">
        <v>323</v>
      </c>
      <c r="M134" s="3">
        <v>19.600000000000001</v>
      </c>
      <c r="N134" s="3" t="s">
        <v>1334</v>
      </c>
      <c r="O134" s="3">
        <v>31.752700000000001</v>
      </c>
      <c r="P134" s="3">
        <v>-112.88930000000001</v>
      </c>
      <c r="Q134" s="3">
        <v>25000</v>
      </c>
      <c r="R134" s="3">
        <v>25000</v>
      </c>
      <c r="S134" s="3">
        <v>10000</v>
      </c>
      <c r="T134" s="3">
        <v>19.600000000000001</v>
      </c>
      <c r="U134" s="3">
        <v>25000</v>
      </c>
      <c r="V134" s="3" t="s">
        <v>144</v>
      </c>
      <c r="W134" s="3" t="s">
        <v>382</v>
      </c>
      <c r="X134" s="3">
        <v>0</v>
      </c>
      <c r="Y134" s="3">
        <v>60000</v>
      </c>
      <c r="Z134" s="3">
        <v>60000</v>
      </c>
      <c r="AA134" s="5">
        <v>200</v>
      </c>
      <c r="AB134" s="5">
        <v>1.5</v>
      </c>
      <c r="AC134" s="5">
        <v>1</v>
      </c>
      <c r="AD134" s="5">
        <v>2.5000000000000001E-2</v>
      </c>
      <c r="AE134" s="5">
        <v>0.03</v>
      </c>
      <c r="AF134" s="5">
        <v>250</v>
      </c>
      <c r="AG134" s="5">
        <v>-1.5</v>
      </c>
      <c r="AH134" s="5">
        <v>1.5</v>
      </c>
      <c r="AI134" s="45">
        <v>0</v>
      </c>
      <c r="AJ134" s="45">
        <v>0</v>
      </c>
      <c r="AK134" s="45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5">
        <v>0</v>
      </c>
      <c r="AS134" s="54">
        <v>0</v>
      </c>
      <c r="AT134" s="52">
        <v>0</v>
      </c>
      <c r="AU134" s="52">
        <v>0</v>
      </c>
      <c r="AV134" s="52">
        <v>0</v>
      </c>
      <c r="AW134" s="38">
        <v>0</v>
      </c>
      <c r="AX134" s="38">
        <v>0</v>
      </c>
      <c r="AY134" s="38">
        <v>0</v>
      </c>
      <c r="AZ134" s="38">
        <v>0</v>
      </c>
      <c r="BA134" s="38">
        <v>0</v>
      </c>
      <c r="BB134" s="38">
        <v>0</v>
      </c>
      <c r="BC134" s="38">
        <v>0</v>
      </c>
      <c r="BD134" s="38">
        <v>0</v>
      </c>
      <c r="BE134" s="38">
        <v>0</v>
      </c>
      <c r="BF134" s="38">
        <v>0</v>
      </c>
      <c r="BG134" s="40">
        <v>3</v>
      </c>
      <c r="BH134" s="40" t="s">
        <v>104</v>
      </c>
      <c r="BI134" s="40">
        <v>0</v>
      </c>
    </row>
    <row r="135" spans="1:61" x14ac:dyDescent="0.25">
      <c r="A135" s="6">
        <v>132</v>
      </c>
      <c r="B135" s="6" t="s">
        <v>1475</v>
      </c>
      <c r="F135" s="17">
        <v>42169.127152777779</v>
      </c>
      <c r="G135" s="21">
        <v>8</v>
      </c>
      <c r="H135" s="4">
        <f t="shared" si="8"/>
        <v>42169.460486111115</v>
      </c>
      <c r="I135" s="3">
        <v>1814</v>
      </c>
      <c r="J135" s="3">
        <v>31858</v>
      </c>
      <c r="K135" s="3">
        <f t="shared" si="9"/>
        <v>0.22001517035086041</v>
      </c>
      <c r="L135" s="3">
        <v>150.49700000000001</v>
      </c>
      <c r="M135" s="3">
        <v>62.146000000000001</v>
      </c>
      <c r="N135" s="3" t="s">
        <v>1334</v>
      </c>
      <c r="O135" s="3">
        <v>6.3</v>
      </c>
      <c r="P135" s="3">
        <v>124.1</v>
      </c>
      <c r="Q135" s="3">
        <v>32400</v>
      </c>
      <c r="R135" s="3">
        <v>32400</v>
      </c>
      <c r="S135" s="3">
        <v>31858</v>
      </c>
      <c r="T135" s="3">
        <v>62.146000000000001</v>
      </c>
      <c r="U135" s="3">
        <v>25000</v>
      </c>
      <c r="V135" s="3" t="s">
        <v>144</v>
      </c>
      <c r="W135" s="3" t="s">
        <v>382</v>
      </c>
      <c r="X135" s="3">
        <v>0</v>
      </c>
      <c r="Y135" s="3">
        <v>60000</v>
      </c>
      <c r="Z135" s="3">
        <v>60000</v>
      </c>
      <c r="AA135" s="5">
        <v>1000</v>
      </c>
      <c r="AB135" s="5">
        <v>2</v>
      </c>
      <c r="AC135" s="5">
        <v>2</v>
      </c>
      <c r="AD135" s="5">
        <v>0.05</v>
      </c>
      <c r="AE135" s="5">
        <v>0.05</v>
      </c>
      <c r="AF135" s="5">
        <v>1000</v>
      </c>
      <c r="AG135" s="5">
        <v>-1.5</v>
      </c>
      <c r="AH135" s="5">
        <v>1.5</v>
      </c>
      <c r="AI135" s="45">
        <v>0</v>
      </c>
      <c r="AJ135" s="45">
        <v>0</v>
      </c>
      <c r="AK135" s="45">
        <v>0</v>
      </c>
      <c r="AL135" s="23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5">
        <v>0</v>
      </c>
      <c r="AS135" s="54">
        <v>0</v>
      </c>
      <c r="AT135" s="52">
        <v>0</v>
      </c>
      <c r="AU135" s="52">
        <v>0</v>
      </c>
      <c r="AV135" s="52">
        <v>0</v>
      </c>
      <c r="AW135" s="38">
        <v>0</v>
      </c>
      <c r="AX135" s="38">
        <v>0</v>
      </c>
      <c r="AY135" s="38">
        <v>0</v>
      </c>
      <c r="AZ135" s="38">
        <v>0</v>
      </c>
      <c r="BA135" s="38">
        <v>0</v>
      </c>
      <c r="BB135" s="38">
        <v>0</v>
      </c>
      <c r="BC135" s="38">
        <v>0</v>
      </c>
      <c r="BD135" s="38">
        <v>0</v>
      </c>
      <c r="BE135" s="38">
        <v>0</v>
      </c>
      <c r="BF135" s="38">
        <v>0</v>
      </c>
      <c r="BG135" s="40">
        <v>2</v>
      </c>
      <c r="BH135" s="40" t="s">
        <v>1416</v>
      </c>
      <c r="BI135" s="40">
        <v>0</v>
      </c>
    </row>
    <row r="136" spans="1:61" x14ac:dyDescent="0.25">
      <c r="A136" s="6">
        <v>133</v>
      </c>
      <c r="B136" s="6" t="s">
        <v>1476</v>
      </c>
      <c r="E136" s="6" t="s">
        <v>418</v>
      </c>
      <c r="F136" s="17">
        <v>42644.849826388891</v>
      </c>
      <c r="G136" s="21">
        <v>1</v>
      </c>
      <c r="H136" s="4">
        <f t="shared" si="8"/>
        <v>42644.891493055555</v>
      </c>
      <c r="I136" s="3">
        <v>4564</v>
      </c>
      <c r="J136" s="3">
        <v>14202</v>
      </c>
      <c r="K136" s="3">
        <f t="shared" si="9"/>
        <v>0.11000767369216062</v>
      </c>
      <c r="L136" s="3">
        <v>110.732</v>
      </c>
      <c r="M136" s="3">
        <v>22.3</v>
      </c>
      <c r="N136" s="3" t="s">
        <v>1334</v>
      </c>
      <c r="O136" s="3">
        <v>36.200000000000003</v>
      </c>
      <c r="P136" s="3">
        <v>6.7</v>
      </c>
      <c r="Q136" s="3">
        <v>27800</v>
      </c>
      <c r="R136" s="3">
        <v>27800</v>
      </c>
      <c r="S136" s="3">
        <v>14202</v>
      </c>
      <c r="T136" s="3">
        <v>22.3</v>
      </c>
      <c r="U136" s="3">
        <v>25000</v>
      </c>
      <c r="V136" s="3" t="s">
        <v>144</v>
      </c>
      <c r="W136" s="3" t="s">
        <v>382</v>
      </c>
      <c r="X136" s="3">
        <v>0</v>
      </c>
      <c r="Y136" s="3">
        <v>60000</v>
      </c>
      <c r="Z136" s="3">
        <v>60000</v>
      </c>
      <c r="AA136" s="5">
        <v>1000</v>
      </c>
      <c r="AB136" s="5">
        <v>2</v>
      </c>
      <c r="AC136" s="5">
        <v>2</v>
      </c>
      <c r="AD136" s="5">
        <v>0.05</v>
      </c>
      <c r="AE136" s="5">
        <v>0.05</v>
      </c>
      <c r="AF136" s="5">
        <v>1000</v>
      </c>
      <c r="AG136" s="5">
        <v>-1.5</v>
      </c>
      <c r="AH136" s="5">
        <v>1.5</v>
      </c>
      <c r="AI136" s="45">
        <v>0</v>
      </c>
      <c r="AJ136" s="45">
        <v>0</v>
      </c>
      <c r="AK136" s="45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5">
        <v>0</v>
      </c>
      <c r="AS136" s="54">
        <v>0</v>
      </c>
      <c r="AT136" s="52">
        <v>0</v>
      </c>
      <c r="AU136" s="52">
        <v>0</v>
      </c>
      <c r="AV136" s="52">
        <v>0</v>
      </c>
      <c r="AW136" s="38">
        <v>0</v>
      </c>
      <c r="AX136" s="38">
        <v>0</v>
      </c>
      <c r="AY136" s="38">
        <v>0</v>
      </c>
      <c r="AZ136" s="38">
        <v>0</v>
      </c>
      <c r="BA136" s="38">
        <v>0</v>
      </c>
      <c r="BB136" s="38">
        <v>0</v>
      </c>
      <c r="BC136" s="38">
        <v>0</v>
      </c>
      <c r="BD136" s="38">
        <v>0</v>
      </c>
      <c r="BE136" s="38">
        <v>0</v>
      </c>
      <c r="BF136" s="38">
        <v>0</v>
      </c>
      <c r="BG136" s="40">
        <v>2</v>
      </c>
      <c r="BH136" s="40" t="s">
        <v>1416</v>
      </c>
      <c r="BI136" s="40">
        <v>0</v>
      </c>
    </row>
    <row r="137" spans="1:61" x14ac:dyDescent="0.25">
      <c r="A137" s="6">
        <v>134</v>
      </c>
      <c r="B137" s="6" t="s">
        <v>1477</v>
      </c>
      <c r="E137" s="6" t="s">
        <v>418</v>
      </c>
      <c r="F137" s="17">
        <v>40943.612500000003</v>
      </c>
      <c r="G137" s="21">
        <v>1</v>
      </c>
      <c r="H137" s="4">
        <f t="shared" si="8"/>
        <v>40943.654166666667</v>
      </c>
      <c r="I137" s="3">
        <v>23986</v>
      </c>
      <c r="J137" s="3">
        <v>12248</v>
      </c>
      <c r="K137" s="3">
        <f t="shared" si="9"/>
        <v>0.42999807683365199</v>
      </c>
      <c r="L137" s="3">
        <v>63.42</v>
      </c>
      <c r="M137" s="3">
        <v>84.69</v>
      </c>
      <c r="N137" s="3" t="s">
        <v>1334</v>
      </c>
      <c r="O137" s="3">
        <v>32.4</v>
      </c>
      <c r="P137" s="3">
        <v>0.1</v>
      </c>
      <c r="Q137" s="3">
        <v>34200</v>
      </c>
      <c r="R137" s="3">
        <v>34200</v>
      </c>
      <c r="S137" s="3">
        <v>12248</v>
      </c>
      <c r="T137" s="3">
        <v>84.69</v>
      </c>
      <c r="U137" s="3">
        <v>25000</v>
      </c>
      <c r="V137" s="3" t="s">
        <v>144</v>
      </c>
      <c r="W137" s="3" t="s">
        <v>382</v>
      </c>
      <c r="X137" s="3">
        <v>0</v>
      </c>
      <c r="Y137" s="3">
        <v>60000</v>
      </c>
      <c r="Z137" s="3">
        <v>60000</v>
      </c>
      <c r="AA137" s="5">
        <v>1000</v>
      </c>
      <c r="AB137" s="5">
        <v>2</v>
      </c>
      <c r="AC137" s="5">
        <v>2</v>
      </c>
      <c r="AD137" s="5">
        <v>0.05</v>
      </c>
      <c r="AE137" s="5">
        <v>0.05</v>
      </c>
      <c r="AF137" s="5">
        <v>1000</v>
      </c>
      <c r="AG137" s="5">
        <v>-1.5</v>
      </c>
      <c r="AH137" s="5">
        <v>1.5</v>
      </c>
      <c r="AI137" s="45">
        <v>0</v>
      </c>
      <c r="AJ137" s="45">
        <v>0</v>
      </c>
      <c r="AK137" s="45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5">
        <v>0</v>
      </c>
      <c r="AS137" s="54">
        <v>0</v>
      </c>
      <c r="AT137" s="52">
        <v>0</v>
      </c>
      <c r="AU137" s="52">
        <v>0</v>
      </c>
      <c r="AV137" s="52">
        <v>0</v>
      </c>
      <c r="AW137" s="38">
        <v>0</v>
      </c>
      <c r="AX137" s="38">
        <v>0</v>
      </c>
      <c r="AY137" s="38">
        <v>0</v>
      </c>
      <c r="AZ137" s="38">
        <v>0</v>
      </c>
      <c r="BA137" s="38">
        <v>0</v>
      </c>
      <c r="BB137" s="38">
        <v>0</v>
      </c>
      <c r="BC137" s="38">
        <v>0</v>
      </c>
      <c r="BD137" s="38">
        <v>0</v>
      </c>
      <c r="BE137" s="38">
        <v>0</v>
      </c>
      <c r="BF137" s="38">
        <v>0</v>
      </c>
      <c r="BG137" s="40">
        <v>2</v>
      </c>
      <c r="BH137" s="40" t="s">
        <v>1416</v>
      </c>
      <c r="BI137" s="40">
        <v>0</v>
      </c>
    </row>
    <row r="138" spans="1:61" x14ac:dyDescent="0.25">
      <c r="A138" s="6">
        <v>135</v>
      </c>
      <c r="B138" s="6" t="s">
        <v>1478</v>
      </c>
      <c r="C138" s="6" t="s">
        <v>1478</v>
      </c>
      <c r="D138" s="6" t="s">
        <v>56</v>
      </c>
      <c r="E138" s="6" t="s">
        <v>4</v>
      </c>
      <c r="F138" s="17">
        <v>44764.244525462964</v>
      </c>
      <c r="G138" s="21">
        <v>-4</v>
      </c>
      <c r="H138" s="4">
        <f t="shared" si="8"/>
        <v>44764.0778587963</v>
      </c>
      <c r="I138" s="3">
        <v>10</v>
      </c>
      <c r="J138" s="3">
        <v>13640</v>
      </c>
      <c r="K138" s="3">
        <f t="shared" si="9"/>
        <v>2.2233460803059273E-4</v>
      </c>
      <c r="L138" s="3">
        <v>34</v>
      </c>
      <c r="M138" s="3">
        <v>46</v>
      </c>
      <c r="N138" s="3" t="s">
        <v>1334</v>
      </c>
      <c r="O138" s="3">
        <v>40.3386</v>
      </c>
      <c r="P138" s="3">
        <v>-86.331400000000002</v>
      </c>
      <c r="Q138" s="3">
        <v>13970</v>
      </c>
      <c r="R138" s="3">
        <v>13970</v>
      </c>
      <c r="S138" s="3">
        <v>13640</v>
      </c>
      <c r="T138" s="3">
        <v>84.69</v>
      </c>
      <c r="U138" s="3">
        <v>14200</v>
      </c>
      <c r="V138" s="3" t="s">
        <v>144</v>
      </c>
      <c r="W138" s="3" t="s">
        <v>382</v>
      </c>
      <c r="X138" s="3">
        <v>0</v>
      </c>
      <c r="Y138" s="3">
        <v>60000</v>
      </c>
      <c r="Z138" s="3">
        <v>60000</v>
      </c>
      <c r="AA138" s="5">
        <v>1000</v>
      </c>
      <c r="AB138" s="5">
        <v>2</v>
      </c>
      <c r="AC138" s="5">
        <v>3</v>
      </c>
      <c r="AD138" s="5">
        <v>0.02</v>
      </c>
      <c r="AE138" s="5">
        <v>2.9000000000000001E-2</v>
      </c>
      <c r="AF138" s="5">
        <v>1010</v>
      </c>
      <c r="AG138" s="5">
        <v>-1.5</v>
      </c>
      <c r="AH138" s="5">
        <v>1.5</v>
      </c>
      <c r="AI138" s="45">
        <v>0</v>
      </c>
      <c r="AJ138" s="45">
        <v>0</v>
      </c>
      <c r="AK138" s="45">
        <v>0</v>
      </c>
      <c r="AL138" s="23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5">
        <v>0</v>
      </c>
      <c r="AS138" s="54">
        <v>0</v>
      </c>
      <c r="AT138" s="52">
        <v>0</v>
      </c>
      <c r="AU138" s="52">
        <v>0</v>
      </c>
      <c r="AV138" s="52">
        <v>0</v>
      </c>
      <c r="AW138" s="38">
        <v>0</v>
      </c>
      <c r="AX138" s="38">
        <v>0</v>
      </c>
      <c r="AY138" s="38">
        <v>0</v>
      </c>
      <c r="AZ138" s="38">
        <v>0</v>
      </c>
      <c r="BA138" s="38">
        <v>0</v>
      </c>
      <c r="BB138" s="38">
        <v>0</v>
      </c>
      <c r="BC138" s="38">
        <v>0</v>
      </c>
      <c r="BD138" s="38">
        <v>0</v>
      </c>
      <c r="BE138" s="38">
        <v>0</v>
      </c>
      <c r="BF138" s="38">
        <v>0</v>
      </c>
      <c r="BG138" s="40">
        <v>2</v>
      </c>
      <c r="BH138" s="40" t="s">
        <v>1416</v>
      </c>
      <c r="BI138" s="40">
        <v>0</v>
      </c>
    </row>
    <row r="139" spans="1:61" x14ac:dyDescent="0.25">
      <c r="A139" s="6">
        <v>136</v>
      </c>
      <c r="B139" s="6" t="s">
        <v>1479</v>
      </c>
      <c r="C139" s="6" t="s">
        <v>1479</v>
      </c>
      <c r="D139" s="6" t="s">
        <v>1390</v>
      </c>
      <c r="E139" s="6" t="s">
        <v>4</v>
      </c>
      <c r="F139" s="17">
        <v>44767.140925925924</v>
      </c>
      <c r="G139" s="21">
        <v>-5</v>
      </c>
      <c r="H139" s="4">
        <f t="shared" si="8"/>
        <v>44766.932592592588</v>
      </c>
      <c r="I139" s="3">
        <v>10</v>
      </c>
      <c r="J139" s="3">
        <v>16870</v>
      </c>
      <c r="K139" s="3">
        <f t="shared" si="9"/>
        <v>3.4010145793499043E-4</v>
      </c>
      <c r="L139" s="3">
        <v>318</v>
      </c>
      <c r="M139" s="3">
        <v>64</v>
      </c>
      <c r="N139" s="3" t="s">
        <v>1334</v>
      </c>
      <c r="O139" s="3">
        <v>29.986000000000001</v>
      </c>
      <c r="P139" s="3">
        <v>-97.768000000000001</v>
      </c>
      <c r="Q139" s="3">
        <v>34000</v>
      </c>
      <c r="R139" s="3">
        <v>34000</v>
      </c>
      <c r="S139" s="3">
        <v>20000</v>
      </c>
      <c r="T139" s="3">
        <v>62</v>
      </c>
      <c r="U139" s="3">
        <v>34000</v>
      </c>
      <c r="V139" s="3" t="s">
        <v>144</v>
      </c>
      <c r="W139" s="3" t="s">
        <v>382</v>
      </c>
      <c r="X139" s="3">
        <v>0</v>
      </c>
      <c r="Y139" s="3">
        <v>60000</v>
      </c>
      <c r="Z139" s="3">
        <v>60000</v>
      </c>
      <c r="AA139" s="5">
        <v>500</v>
      </c>
      <c r="AB139" s="5">
        <v>2</v>
      </c>
      <c r="AC139" s="5">
        <v>4</v>
      </c>
      <c r="AD139" s="5">
        <v>2.3E-2</v>
      </c>
      <c r="AE139" s="5">
        <v>2.3E-2</v>
      </c>
      <c r="AF139" s="5">
        <v>3000</v>
      </c>
      <c r="AG139" s="5">
        <v>-1.5</v>
      </c>
      <c r="AH139" s="5">
        <v>1.5</v>
      </c>
      <c r="AI139" s="45">
        <v>0</v>
      </c>
      <c r="AJ139" s="45">
        <v>0</v>
      </c>
      <c r="AK139" s="45">
        <v>0</v>
      </c>
      <c r="AL139" s="23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5">
        <v>0</v>
      </c>
      <c r="AS139" s="54">
        <v>0</v>
      </c>
      <c r="AT139" s="52">
        <v>0</v>
      </c>
      <c r="AU139" s="52">
        <v>0</v>
      </c>
      <c r="AV139" s="52">
        <v>0</v>
      </c>
      <c r="AW139" s="38">
        <v>0</v>
      </c>
      <c r="AX139" s="38">
        <v>0</v>
      </c>
      <c r="AY139" s="38">
        <v>0</v>
      </c>
      <c r="AZ139" s="38">
        <v>0</v>
      </c>
      <c r="BA139" s="38">
        <v>0</v>
      </c>
      <c r="BB139" s="38">
        <v>0</v>
      </c>
      <c r="BC139" s="38">
        <v>0</v>
      </c>
      <c r="BD139" s="38">
        <v>0</v>
      </c>
      <c r="BE139" s="38">
        <v>0</v>
      </c>
      <c r="BF139" s="38">
        <v>0</v>
      </c>
      <c r="BG139" s="40">
        <v>2</v>
      </c>
      <c r="BH139" s="40" t="s">
        <v>1416</v>
      </c>
      <c r="BI139" s="40">
        <v>0</v>
      </c>
    </row>
    <row r="140" spans="1:61" x14ac:dyDescent="0.25">
      <c r="A140" s="6">
        <v>137</v>
      </c>
      <c r="B140" s="6" t="s">
        <v>1480</v>
      </c>
      <c r="C140" s="6" t="s">
        <v>1480</v>
      </c>
      <c r="D140" s="6" t="s">
        <v>1481</v>
      </c>
      <c r="E140" s="6" t="s">
        <v>4</v>
      </c>
      <c r="F140" s="17">
        <v>44772.081250000003</v>
      </c>
      <c r="G140" s="21">
        <v>-4</v>
      </c>
      <c r="H140" s="4">
        <f t="shared" si="8"/>
        <v>44771.914583333339</v>
      </c>
      <c r="I140" s="3">
        <v>90.7</v>
      </c>
      <c r="J140" s="3">
        <v>20500</v>
      </c>
      <c r="K140" s="3">
        <f t="shared" si="9"/>
        <v>4.5550519837476103E-3</v>
      </c>
      <c r="L140" s="3">
        <v>317.2</v>
      </c>
      <c r="M140" s="3">
        <v>66.5</v>
      </c>
      <c r="N140" s="3" t="s">
        <v>1334</v>
      </c>
      <c r="O140" s="3">
        <v>39.601999999999997</v>
      </c>
      <c r="P140" s="3">
        <v>-78.905000000000001</v>
      </c>
      <c r="Q140" s="3">
        <v>51500</v>
      </c>
      <c r="R140" s="3">
        <v>51500</v>
      </c>
      <c r="S140" s="3">
        <v>20500</v>
      </c>
      <c r="T140" s="3">
        <v>66.5</v>
      </c>
      <c r="U140" s="3">
        <v>51500</v>
      </c>
      <c r="V140" s="3" t="s">
        <v>144</v>
      </c>
      <c r="W140" s="3" t="s">
        <v>382</v>
      </c>
      <c r="X140" s="3">
        <v>0</v>
      </c>
      <c r="Y140" s="3">
        <v>60000</v>
      </c>
      <c r="Z140" s="3">
        <v>60000</v>
      </c>
      <c r="AA140" s="5">
        <v>2000</v>
      </c>
      <c r="AB140" s="5">
        <v>5</v>
      </c>
      <c r="AC140" s="5">
        <v>5</v>
      </c>
      <c r="AD140" s="5">
        <v>0.05</v>
      </c>
      <c r="AE140" s="5">
        <v>0.05</v>
      </c>
      <c r="AF140" s="5">
        <v>2000</v>
      </c>
      <c r="AG140" s="5">
        <v>-1.5</v>
      </c>
      <c r="AH140" s="5">
        <v>1.5</v>
      </c>
      <c r="AI140" s="45">
        <v>0</v>
      </c>
      <c r="AJ140" s="45">
        <v>0</v>
      </c>
      <c r="AK140" s="45">
        <v>0</v>
      </c>
      <c r="AL140" s="23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0</v>
      </c>
      <c r="AR140" s="25">
        <v>0</v>
      </c>
      <c r="AS140" s="54">
        <v>0</v>
      </c>
      <c r="AT140" s="52">
        <v>0</v>
      </c>
      <c r="AU140" s="52">
        <v>0</v>
      </c>
      <c r="AV140" s="52">
        <v>0</v>
      </c>
      <c r="AW140" s="38">
        <v>0</v>
      </c>
      <c r="AX140" s="38">
        <v>0</v>
      </c>
      <c r="AY140" s="38">
        <v>0</v>
      </c>
      <c r="AZ140" s="38">
        <v>0</v>
      </c>
      <c r="BA140" s="38">
        <v>0</v>
      </c>
      <c r="BB140" s="38">
        <v>0</v>
      </c>
      <c r="BC140" s="38">
        <v>0</v>
      </c>
      <c r="BD140" s="38">
        <v>0</v>
      </c>
      <c r="BE140" s="38">
        <v>0</v>
      </c>
      <c r="BF140" s="38">
        <v>0</v>
      </c>
      <c r="BG140" s="40">
        <v>1</v>
      </c>
      <c r="BH140" s="40" t="s">
        <v>1416</v>
      </c>
      <c r="BI140" s="40">
        <v>0</v>
      </c>
    </row>
    <row r="141" spans="1:61" x14ac:dyDescent="0.25">
      <c r="A141" s="6">
        <v>138</v>
      </c>
      <c r="B141" s="6" t="s">
        <v>1482</v>
      </c>
      <c r="C141" s="6" t="s">
        <v>1482</v>
      </c>
      <c r="D141" s="6" t="s">
        <v>1483</v>
      </c>
      <c r="E141" s="6" t="s">
        <v>4</v>
      </c>
      <c r="F141" s="17">
        <v>44786.60434027778</v>
      </c>
      <c r="G141" s="21">
        <v>-6</v>
      </c>
      <c r="H141" s="4">
        <f t="shared" si="8"/>
        <v>44786.35434027778</v>
      </c>
      <c r="I141" s="3">
        <v>10000</v>
      </c>
      <c r="J141" s="3">
        <v>18000</v>
      </c>
      <c r="K141" s="3">
        <f t="shared" si="9"/>
        <v>0.38718929254302098</v>
      </c>
      <c r="L141" s="3">
        <v>272.33999999999997</v>
      </c>
      <c r="M141" s="3">
        <v>76</v>
      </c>
      <c r="N141" s="3" t="s">
        <v>1334</v>
      </c>
      <c r="O141" s="3">
        <v>40.700099999999999</v>
      </c>
      <c r="P141" s="3">
        <v>-112.27070000000001</v>
      </c>
      <c r="Q141" s="3">
        <v>33000</v>
      </c>
      <c r="R141" s="3">
        <v>33000</v>
      </c>
      <c r="S141" s="3">
        <v>18000</v>
      </c>
      <c r="T141" s="3">
        <v>76</v>
      </c>
      <c r="U141" s="3">
        <v>33000</v>
      </c>
      <c r="V141" s="3" t="s">
        <v>79</v>
      </c>
      <c r="W141" s="3" t="s">
        <v>382</v>
      </c>
      <c r="X141" s="3">
        <v>0</v>
      </c>
      <c r="Y141" s="3">
        <v>60000</v>
      </c>
      <c r="Z141" s="3">
        <v>60000</v>
      </c>
      <c r="AA141" s="5">
        <v>2500</v>
      </c>
      <c r="AB141" s="5">
        <v>1.9</v>
      </c>
      <c r="AC141" s="5">
        <v>3</v>
      </c>
      <c r="AD141" s="5">
        <v>6.0000000000000001E-3</v>
      </c>
      <c r="AE141" s="5">
        <v>6.0000000000000001E-3</v>
      </c>
      <c r="AF141" s="5">
        <v>2000</v>
      </c>
      <c r="AG141" s="5">
        <v>-1.5</v>
      </c>
      <c r="AH141" s="5">
        <v>1.5</v>
      </c>
      <c r="AI141" s="45">
        <v>0</v>
      </c>
      <c r="AJ141" s="45">
        <v>0</v>
      </c>
      <c r="AK141" s="45">
        <v>0</v>
      </c>
      <c r="AL141" s="23">
        <v>0</v>
      </c>
      <c r="AM141" s="23">
        <v>2</v>
      </c>
      <c r="AN141" s="23">
        <v>0</v>
      </c>
      <c r="AO141" s="23">
        <v>0</v>
      </c>
      <c r="AP141" s="23">
        <v>0</v>
      </c>
      <c r="AQ141" s="23">
        <v>0</v>
      </c>
      <c r="AR141" s="25">
        <v>0</v>
      </c>
      <c r="AS141" s="54">
        <v>0</v>
      </c>
      <c r="AT141" s="52">
        <v>0</v>
      </c>
      <c r="AU141" s="52">
        <v>0</v>
      </c>
      <c r="AV141" s="52">
        <v>0</v>
      </c>
      <c r="AW141" s="38">
        <v>0</v>
      </c>
      <c r="AX141" s="38">
        <v>0</v>
      </c>
      <c r="AY141" s="38">
        <v>0</v>
      </c>
      <c r="AZ141" s="38">
        <v>0</v>
      </c>
      <c r="BA141" s="38">
        <v>0</v>
      </c>
      <c r="BB141" s="38">
        <v>0</v>
      </c>
      <c r="BC141" s="38">
        <v>0</v>
      </c>
      <c r="BD141" s="38">
        <v>0</v>
      </c>
      <c r="BE141" s="38">
        <v>0</v>
      </c>
      <c r="BF141" s="38">
        <v>0</v>
      </c>
      <c r="BG141" s="40">
        <v>3</v>
      </c>
      <c r="BH141" s="40" t="s">
        <v>1416</v>
      </c>
      <c r="BI141" s="40">
        <v>0</v>
      </c>
    </row>
    <row r="142" spans="1:61" x14ac:dyDescent="0.25">
      <c r="A142" s="6">
        <v>139</v>
      </c>
      <c r="B142" s="6" t="s">
        <v>1484</v>
      </c>
      <c r="C142" s="6" t="s">
        <v>1482</v>
      </c>
      <c r="D142" s="6" t="s">
        <v>1483</v>
      </c>
      <c r="E142" s="6" t="s">
        <v>4</v>
      </c>
      <c r="F142" s="17">
        <v>44786.60434027778</v>
      </c>
      <c r="G142" s="21">
        <v>-6</v>
      </c>
      <c r="H142" s="4">
        <f t="shared" si="8"/>
        <v>44786.35434027778</v>
      </c>
      <c r="I142" s="3">
        <v>200</v>
      </c>
      <c r="J142" s="3">
        <v>8000</v>
      </c>
      <c r="K142" s="3">
        <f t="shared" si="9"/>
        <v>1.5296367112810707E-3</v>
      </c>
      <c r="L142" s="3">
        <v>272.33999999999997</v>
      </c>
      <c r="M142" s="3">
        <v>70</v>
      </c>
      <c r="N142" s="3" t="s">
        <v>1334</v>
      </c>
      <c r="O142" s="3">
        <v>40.709463</v>
      </c>
      <c r="P142" s="3">
        <v>-112.26336999999999</v>
      </c>
      <c r="Q142" s="3">
        <v>33000</v>
      </c>
      <c r="R142" s="3">
        <v>33000</v>
      </c>
      <c r="S142" s="3">
        <v>18000</v>
      </c>
      <c r="T142" s="3">
        <v>70</v>
      </c>
      <c r="U142" s="3">
        <v>33000</v>
      </c>
      <c r="V142" s="3" t="s">
        <v>79</v>
      </c>
      <c r="W142" s="3" t="s">
        <v>382</v>
      </c>
      <c r="X142" s="3">
        <v>0</v>
      </c>
      <c r="Y142" s="3">
        <v>34000</v>
      </c>
      <c r="Z142" s="3">
        <v>34000</v>
      </c>
      <c r="AA142" s="5">
        <v>0</v>
      </c>
      <c r="AB142" s="5">
        <v>0</v>
      </c>
      <c r="AC142" s="5">
        <v>0</v>
      </c>
      <c r="AD142" s="5">
        <v>6.0000000000000001E-3</v>
      </c>
      <c r="AE142" s="5">
        <v>6.0000000000000001E-3</v>
      </c>
      <c r="AF142" s="5">
        <v>0</v>
      </c>
      <c r="AG142" s="5">
        <v>-1.5</v>
      </c>
      <c r="AH142" s="5">
        <v>1.5</v>
      </c>
      <c r="AI142" s="45">
        <v>0</v>
      </c>
      <c r="AJ142" s="45">
        <v>0</v>
      </c>
      <c r="AK142" s="45">
        <v>0</v>
      </c>
      <c r="AL142" s="23">
        <v>0</v>
      </c>
      <c r="AM142" s="23">
        <v>2</v>
      </c>
      <c r="AN142" s="23">
        <v>0</v>
      </c>
      <c r="AO142" s="23">
        <v>0</v>
      </c>
      <c r="AP142" s="23">
        <v>0</v>
      </c>
      <c r="AQ142" s="23">
        <v>0</v>
      </c>
      <c r="AR142" s="25">
        <v>0</v>
      </c>
      <c r="AS142" s="54">
        <v>0</v>
      </c>
      <c r="AT142" s="52">
        <v>0</v>
      </c>
      <c r="AU142" s="52">
        <v>0</v>
      </c>
      <c r="AV142" s="52">
        <v>0</v>
      </c>
      <c r="AW142" s="38">
        <v>0</v>
      </c>
      <c r="AX142" s="38">
        <v>0</v>
      </c>
      <c r="AY142" s="38">
        <v>0</v>
      </c>
      <c r="AZ142" s="38">
        <v>0</v>
      </c>
      <c r="BA142" s="38">
        <v>0</v>
      </c>
      <c r="BB142" s="38">
        <v>0</v>
      </c>
      <c r="BC142" s="38">
        <v>0</v>
      </c>
      <c r="BD142" s="38">
        <v>0</v>
      </c>
      <c r="BE142" s="38">
        <v>0</v>
      </c>
      <c r="BF142" s="38">
        <v>0</v>
      </c>
      <c r="BG142" s="40">
        <v>3</v>
      </c>
      <c r="BH142" s="40" t="s">
        <v>1416</v>
      </c>
      <c r="BI142" s="40">
        <v>0</v>
      </c>
    </row>
    <row r="143" spans="1:61" x14ac:dyDescent="0.25">
      <c r="A143" s="6">
        <v>140</v>
      </c>
      <c r="B143" s="6" t="s">
        <v>1485</v>
      </c>
      <c r="C143" s="6" t="s">
        <v>1485</v>
      </c>
      <c r="D143" s="6" t="s">
        <v>648</v>
      </c>
      <c r="E143" s="6" t="s">
        <v>4</v>
      </c>
      <c r="F143" s="17">
        <v>44830.170005659726</v>
      </c>
      <c r="G143" s="21">
        <v>-4</v>
      </c>
      <c r="H143" s="4">
        <f t="shared" si="8"/>
        <v>44830.003338993061</v>
      </c>
      <c r="I143" s="3">
        <v>10</v>
      </c>
      <c r="J143" s="3">
        <v>11882</v>
      </c>
      <c r="K143" s="3">
        <f t="shared" si="9"/>
        <v>1.6871644837476097E-4</v>
      </c>
      <c r="L143" s="3">
        <v>353.04629999999997</v>
      </c>
      <c r="M143" s="3">
        <f>90-73.1599</f>
        <v>16.840100000000007</v>
      </c>
      <c r="N143" s="3" t="s">
        <v>1334</v>
      </c>
      <c r="O143" s="3">
        <v>32.603700000000003</v>
      </c>
      <c r="P143" s="3">
        <v>-84.454800000000006</v>
      </c>
      <c r="Q143" s="3">
        <v>26917</v>
      </c>
      <c r="R143" s="3">
        <v>26917</v>
      </c>
      <c r="S143" s="3">
        <v>11882</v>
      </c>
      <c r="T143" s="3">
        <v>15.635899999999999</v>
      </c>
      <c r="U143" s="3">
        <v>26917</v>
      </c>
      <c r="V143" s="3" t="s">
        <v>79</v>
      </c>
      <c r="W143" s="3" t="s">
        <v>382</v>
      </c>
      <c r="X143" s="3">
        <v>0</v>
      </c>
      <c r="Y143" s="3">
        <v>60000</v>
      </c>
      <c r="Z143" s="3">
        <v>60000</v>
      </c>
      <c r="AA143" s="5">
        <v>818</v>
      </c>
      <c r="AB143" s="5">
        <v>6.5448000000000004</v>
      </c>
      <c r="AC143" s="5">
        <v>2.6467000000000001</v>
      </c>
      <c r="AD143" s="5">
        <v>4.0000000000000001E-3</v>
      </c>
      <c r="AE143" s="5">
        <v>4.0000000000000001E-3</v>
      </c>
      <c r="AF143" s="5">
        <v>263</v>
      </c>
      <c r="AG143" s="5">
        <v>-1.5</v>
      </c>
      <c r="AH143" s="5">
        <v>1.5</v>
      </c>
      <c r="AI143" s="45">
        <v>0</v>
      </c>
      <c r="AJ143" s="45">
        <v>0</v>
      </c>
      <c r="AK143" s="45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5">
        <v>0</v>
      </c>
      <c r="AS143" s="54">
        <v>0</v>
      </c>
      <c r="AT143" s="52">
        <v>0</v>
      </c>
      <c r="AU143" s="52">
        <v>0</v>
      </c>
      <c r="AV143" s="52">
        <v>0</v>
      </c>
      <c r="AW143" s="38">
        <v>0</v>
      </c>
      <c r="AX143" s="38">
        <v>0</v>
      </c>
      <c r="AY143" s="38">
        <v>0</v>
      </c>
      <c r="AZ143" s="38">
        <v>0</v>
      </c>
      <c r="BA143" s="38">
        <v>0</v>
      </c>
      <c r="BB143" s="38">
        <v>0</v>
      </c>
      <c r="BC143" s="38">
        <v>0</v>
      </c>
      <c r="BD143" s="38">
        <v>0</v>
      </c>
      <c r="BE143" s="38">
        <v>0</v>
      </c>
      <c r="BF143" s="38">
        <v>0</v>
      </c>
      <c r="BG143" s="40">
        <v>3</v>
      </c>
      <c r="BH143" s="40" t="s">
        <v>1416</v>
      </c>
      <c r="BI143" s="40">
        <v>0</v>
      </c>
    </row>
    <row r="144" spans="1:61" x14ac:dyDescent="0.25">
      <c r="A144" s="6">
        <v>142</v>
      </c>
      <c r="B144" s="6" t="s">
        <v>1490</v>
      </c>
      <c r="C144" s="6" t="s">
        <v>1488</v>
      </c>
      <c r="D144" s="6" t="s">
        <v>1489</v>
      </c>
      <c r="E144" s="6" t="s">
        <v>1486</v>
      </c>
      <c r="F144" s="17">
        <v>44845.791527777779</v>
      </c>
      <c r="G144" s="21">
        <v>2</v>
      </c>
      <c r="H144" s="4">
        <f t="shared" si="8"/>
        <v>44845.874861111115</v>
      </c>
      <c r="I144" s="3">
        <v>10</v>
      </c>
      <c r="J144" s="3">
        <v>23218</v>
      </c>
      <c r="K144" s="3">
        <f t="shared" si="9"/>
        <v>6.4421071223709373E-4</v>
      </c>
      <c r="L144" s="3">
        <v>285.27879999999999</v>
      </c>
      <c r="M144" s="3">
        <v>57.847799999999999</v>
      </c>
      <c r="N144" s="3" t="s">
        <v>1334</v>
      </c>
      <c r="O144" s="3">
        <v>44.761505</v>
      </c>
      <c r="P144" s="3">
        <v>16.846539</v>
      </c>
      <c r="Q144" s="3">
        <v>33880</v>
      </c>
      <c r="R144" s="3">
        <v>33880</v>
      </c>
      <c r="S144" s="3">
        <v>23218</v>
      </c>
      <c r="T144" s="3">
        <v>57.847799999999999</v>
      </c>
      <c r="U144" s="3">
        <v>33880</v>
      </c>
      <c r="V144" s="3" t="s">
        <v>144</v>
      </c>
      <c r="W144" s="3" t="s">
        <v>382</v>
      </c>
      <c r="X144" s="3">
        <v>0</v>
      </c>
      <c r="Y144" s="3">
        <v>60000</v>
      </c>
      <c r="Z144" s="3">
        <v>60000</v>
      </c>
      <c r="AA144" s="5">
        <v>1000</v>
      </c>
      <c r="AB144" s="5">
        <v>2.6</v>
      </c>
      <c r="AC144" s="5">
        <v>1.9</v>
      </c>
      <c r="AD144" s="5">
        <v>0.01</v>
      </c>
      <c r="AE144" s="5">
        <v>0.01</v>
      </c>
      <c r="AF144" s="5">
        <v>1000</v>
      </c>
      <c r="AG144" s="5">
        <v>-1.5</v>
      </c>
      <c r="AH144" s="5">
        <v>1.5</v>
      </c>
      <c r="AI144" s="45">
        <v>0</v>
      </c>
      <c r="AJ144" s="45">
        <v>0</v>
      </c>
      <c r="AK144" s="45">
        <v>0</v>
      </c>
      <c r="AL144" s="23">
        <v>0</v>
      </c>
      <c r="AM144" s="23">
        <v>0</v>
      </c>
      <c r="AN144" s="23">
        <v>0</v>
      </c>
      <c r="AO144" s="23">
        <v>0</v>
      </c>
      <c r="AP144" s="23">
        <v>0</v>
      </c>
      <c r="AQ144" s="23">
        <v>0</v>
      </c>
      <c r="AR144" s="25">
        <v>0</v>
      </c>
      <c r="AS144" s="54">
        <v>0</v>
      </c>
      <c r="AT144" s="52">
        <v>0</v>
      </c>
      <c r="AU144" s="52">
        <v>0</v>
      </c>
      <c r="AV144" s="52">
        <v>0</v>
      </c>
      <c r="AW144" s="38">
        <v>0</v>
      </c>
      <c r="AX144" s="38">
        <v>0</v>
      </c>
      <c r="AY144" s="38">
        <v>0</v>
      </c>
      <c r="AZ144" s="38">
        <v>0</v>
      </c>
      <c r="BA144" s="38">
        <v>0</v>
      </c>
      <c r="BB144" s="38">
        <v>0</v>
      </c>
      <c r="BC144" s="38">
        <v>0</v>
      </c>
      <c r="BD144" s="38">
        <v>0</v>
      </c>
      <c r="BE144" s="38">
        <v>0</v>
      </c>
      <c r="BF144" s="38">
        <v>0</v>
      </c>
      <c r="BG144" s="40">
        <v>2</v>
      </c>
      <c r="BH144" s="40" t="s">
        <v>1487</v>
      </c>
      <c r="BI144" s="40">
        <v>0</v>
      </c>
    </row>
    <row r="145" spans="1:61" x14ac:dyDescent="0.25">
      <c r="A145" s="6">
        <v>143</v>
      </c>
      <c r="B145" s="6" t="s">
        <v>1492</v>
      </c>
      <c r="C145" s="6" t="s">
        <v>1492</v>
      </c>
      <c r="D145" s="6" t="s">
        <v>1491</v>
      </c>
      <c r="E145" s="6" t="s">
        <v>1025</v>
      </c>
      <c r="F145" s="17">
        <v>44848.780439814815</v>
      </c>
      <c r="G145" s="21">
        <v>2</v>
      </c>
      <c r="H145" s="4">
        <f t="shared" si="8"/>
        <v>44848.86377314815</v>
      </c>
      <c r="I145" s="3">
        <v>2000</v>
      </c>
      <c r="J145" s="3">
        <v>14680</v>
      </c>
      <c r="K145" s="3">
        <f t="shared" si="9"/>
        <v>5.1506309751434026E-2</v>
      </c>
      <c r="L145" s="3">
        <v>0.61</v>
      </c>
      <c r="M145" s="3">
        <v>21</v>
      </c>
      <c r="N145" s="3" t="s">
        <v>1334</v>
      </c>
      <c r="O145" s="3">
        <v>36.708799999999997</v>
      </c>
      <c r="P145" s="3">
        <v>-6.3223000000000003</v>
      </c>
      <c r="Q145" s="3">
        <v>17035</v>
      </c>
      <c r="R145" s="3">
        <v>17035</v>
      </c>
      <c r="S145" s="3">
        <v>5000</v>
      </c>
      <c r="T145" s="3">
        <f>M145</f>
        <v>21</v>
      </c>
      <c r="U145" s="3">
        <v>17035</v>
      </c>
      <c r="V145" s="3" t="s">
        <v>144</v>
      </c>
      <c r="W145" s="3" t="s">
        <v>382</v>
      </c>
      <c r="X145" s="3">
        <v>0</v>
      </c>
      <c r="Y145" s="3">
        <v>60000</v>
      </c>
      <c r="Z145" s="3">
        <v>60000</v>
      </c>
      <c r="AA145" s="5">
        <v>1420</v>
      </c>
      <c r="AB145" s="5">
        <v>2</v>
      </c>
      <c r="AC145" s="5">
        <v>2</v>
      </c>
      <c r="AD145" s="5">
        <v>5.0000000000000001E-3</v>
      </c>
      <c r="AE145" s="5">
        <v>1.2999999999999999E-2</v>
      </c>
      <c r="AF145" s="5">
        <v>1600</v>
      </c>
      <c r="AG145" s="5">
        <v>-1.5</v>
      </c>
      <c r="AH145" s="5">
        <v>1.5</v>
      </c>
      <c r="AI145" s="45">
        <v>0</v>
      </c>
      <c r="AJ145" s="45">
        <v>0</v>
      </c>
      <c r="AK145" s="45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5">
        <v>0</v>
      </c>
      <c r="AS145" s="54">
        <v>0</v>
      </c>
      <c r="AT145" s="52">
        <v>0</v>
      </c>
      <c r="AU145" s="52">
        <v>0</v>
      </c>
      <c r="AV145" s="52">
        <v>0</v>
      </c>
      <c r="AW145" s="38">
        <v>0</v>
      </c>
      <c r="AX145" s="38">
        <v>0</v>
      </c>
      <c r="AY145" s="38">
        <v>0</v>
      </c>
      <c r="AZ145" s="38">
        <v>0</v>
      </c>
      <c r="BA145" s="38">
        <v>0</v>
      </c>
      <c r="BB145" s="38">
        <v>0</v>
      </c>
      <c r="BC145" s="38">
        <v>0</v>
      </c>
      <c r="BD145" s="38">
        <v>0</v>
      </c>
      <c r="BE145" s="38">
        <v>0</v>
      </c>
      <c r="BF145" s="38">
        <v>0</v>
      </c>
      <c r="BG145" s="40">
        <v>2</v>
      </c>
      <c r="BH145" s="40" t="s">
        <v>1416</v>
      </c>
      <c r="BI145" s="40">
        <v>0</v>
      </c>
    </row>
    <row r="146" spans="1:61" x14ac:dyDescent="0.25">
      <c r="A146" s="6">
        <v>144</v>
      </c>
      <c r="B146" s="6" t="s">
        <v>1498</v>
      </c>
      <c r="C146" s="6" t="s">
        <v>1498</v>
      </c>
      <c r="D146" s="6" t="s">
        <v>101</v>
      </c>
      <c r="E146" s="6" t="s">
        <v>103</v>
      </c>
      <c r="F146" s="17">
        <v>44856.059421296297</v>
      </c>
      <c r="G146" s="21">
        <v>-4</v>
      </c>
      <c r="H146" s="4">
        <f t="shared" si="8"/>
        <v>44855.892754629633</v>
      </c>
      <c r="AR146" s="25">
        <v>0</v>
      </c>
      <c r="AS146" s="54">
        <v>0</v>
      </c>
      <c r="AT146" s="52">
        <v>0</v>
      </c>
      <c r="AU146" s="52">
        <v>0</v>
      </c>
      <c r="AV146" s="52">
        <v>0</v>
      </c>
    </row>
    <row r="147" spans="1:61" x14ac:dyDescent="0.25">
      <c r="A147" s="6">
        <v>145</v>
      </c>
      <c r="B147" s="6" t="s">
        <v>1493</v>
      </c>
      <c r="C147" s="6" t="s">
        <v>1494</v>
      </c>
      <c r="D147" s="6" t="s">
        <v>1227</v>
      </c>
      <c r="E147" s="6" t="s">
        <v>4</v>
      </c>
      <c r="F147" s="17">
        <v>44859.078564814816</v>
      </c>
      <c r="G147" s="21">
        <v>-7</v>
      </c>
      <c r="H147" s="4">
        <f t="shared" si="8"/>
        <v>44858.786898148152</v>
      </c>
      <c r="I147" s="3">
        <v>100</v>
      </c>
      <c r="J147" s="3">
        <v>15000</v>
      </c>
      <c r="K147" s="3">
        <f>I147*J147^2/2/4.184/10^12</f>
        <v>2.6888145315487571E-3</v>
      </c>
      <c r="L147" s="3">
        <v>291.8</v>
      </c>
      <c r="M147" s="3">
        <v>43</v>
      </c>
      <c r="N147" s="3" t="s">
        <v>1334</v>
      </c>
      <c r="O147" s="3">
        <v>35.895618499999998</v>
      </c>
      <c r="P147" s="3">
        <v>-114.5819985</v>
      </c>
      <c r="Q147" s="3">
        <v>26750</v>
      </c>
      <c r="R147" s="3">
        <v>26750</v>
      </c>
      <c r="S147" s="3">
        <v>15000</v>
      </c>
      <c r="T147" s="3">
        <f>M147</f>
        <v>43</v>
      </c>
      <c r="U147" s="3">
        <v>26750</v>
      </c>
      <c r="V147" s="3" t="s">
        <v>144</v>
      </c>
      <c r="W147" s="3" t="s">
        <v>382</v>
      </c>
      <c r="X147" s="3">
        <v>0</v>
      </c>
      <c r="Y147" s="3">
        <v>60000</v>
      </c>
      <c r="Z147" s="3">
        <v>60000</v>
      </c>
      <c r="AA147" s="5">
        <v>1500</v>
      </c>
      <c r="AB147" s="5">
        <v>1</v>
      </c>
      <c r="AC147" s="5">
        <v>2</v>
      </c>
      <c r="AD147" s="5">
        <v>6.0000000000000001E-3</v>
      </c>
      <c r="AE147" s="5">
        <v>1.2999999999999999E-2</v>
      </c>
      <c r="AF147" s="5">
        <v>1450</v>
      </c>
      <c r="AG147" s="5">
        <v>-1.5</v>
      </c>
      <c r="AH147" s="5">
        <v>1.5</v>
      </c>
      <c r="AI147" s="45">
        <v>0</v>
      </c>
      <c r="AJ147" s="45">
        <v>0</v>
      </c>
      <c r="AK147" s="45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5">
        <v>0</v>
      </c>
      <c r="AS147" s="54">
        <v>0</v>
      </c>
      <c r="AT147" s="52">
        <v>0</v>
      </c>
      <c r="AU147" s="52">
        <v>0</v>
      </c>
      <c r="AV147" s="52">
        <v>0</v>
      </c>
      <c r="AW147" s="38">
        <v>0</v>
      </c>
      <c r="AX147" s="38">
        <v>0</v>
      </c>
      <c r="AY147" s="38">
        <v>0</v>
      </c>
      <c r="AZ147" s="38">
        <v>0</v>
      </c>
      <c r="BA147" s="38">
        <v>0</v>
      </c>
      <c r="BB147" s="38">
        <v>0</v>
      </c>
      <c r="BC147" s="38">
        <v>0</v>
      </c>
      <c r="BD147" s="38">
        <v>0</v>
      </c>
      <c r="BE147" s="38">
        <v>0</v>
      </c>
      <c r="BF147" s="38">
        <v>0</v>
      </c>
      <c r="BG147" s="40">
        <v>3</v>
      </c>
      <c r="BH147" s="40" t="s">
        <v>1416</v>
      </c>
      <c r="BI147" s="40">
        <v>0</v>
      </c>
    </row>
    <row r="148" spans="1:61" x14ac:dyDescent="0.25">
      <c r="A148" s="6">
        <v>146</v>
      </c>
      <c r="B148" s="6" t="s">
        <v>1495</v>
      </c>
      <c r="C148" s="6" t="s">
        <v>1495</v>
      </c>
      <c r="D148" s="6" t="s">
        <v>1496</v>
      </c>
      <c r="E148" s="6" t="s">
        <v>1025</v>
      </c>
      <c r="F148" s="17">
        <v>44846.201388888891</v>
      </c>
      <c r="G148" s="21">
        <v>2</v>
      </c>
      <c r="H148" s="4">
        <f t="shared" si="8"/>
        <v>44846.284722222226</v>
      </c>
      <c r="I148" s="3">
        <v>50</v>
      </c>
      <c r="J148" s="3">
        <v>19160</v>
      </c>
      <c r="K148" s="3">
        <f>I148*J148^2/2/4.184/10^12</f>
        <v>2.1935086042065011E-3</v>
      </c>
      <c r="L148" s="3">
        <v>90.57</v>
      </c>
      <c r="M148" s="3">
        <v>69.81</v>
      </c>
      <c r="N148" s="3" t="s">
        <v>1334</v>
      </c>
      <c r="O148" s="3">
        <v>38.247650999999998</v>
      </c>
      <c r="P148" s="3">
        <v>-1.6034379999999999</v>
      </c>
      <c r="Q148" s="3">
        <v>32000</v>
      </c>
      <c r="R148" s="3">
        <v>32000</v>
      </c>
      <c r="S148" s="3">
        <v>19160</v>
      </c>
      <c r="T148" s="3">
        <v>20.190000000000001</v>
      </c>
      <c r="U148" s="3">
        <v>32000</v>
      </c>
      <c r="V148" s="3" t="s">
        <v>144</v>
      </c>
      <c r="W148" s="3" t="s">
        <v>382</v>
      </c>
      <c r="X148" s="3">
        <v>0</v>
      </c>
      <c r="Y148" s="3">
        <v>60000</v>
      </c>
      <c r="Z148" s="3">
        <v>60000</v>
      </c>
      <c r="AA148" s="5">
        <v>200</v>
      </c>
      <c r="AB148" s="5">
        <v>2</v>
      </c>
      <c r="AC148" s="5">
        <v>2</v>
      </c>
      <c r="AD148" s="5">
        <v>0.01</v>
      </c>
      <c r="AE148" s="5">
        <v>0.01</v>
      </c>
      <c r="AF148" s="5">
        <v>1000</v>
      </c>
      <c r="AG148" s="5">
        <v>-1.5</v>
      </c>
      <c r="AH148" s="5">
        <v>1.5</v>
      </c>
      <c r="AI148" s="45">
        <v>0</v>
      </c>
      <c r="AJ148" s="45">
        <v>0</v>
      </c>
      <c r="AK148" s="45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5">
        <v>0</v>
      </c>
      <c r="AS148" s="54">
        <v>0</v>
      </c>
      <c r="AT148" s="52">
        <v>0</v>
      </c>
      <c r="AU148" s="52">
        <v>0</v>
      </c>
      <c r="AV148" s="52">
        <v>0</v>
      </c>
      <c r="AW148" s="38">
        <v>0</v>
      </c>
      <c r="AX148" s="38">
        <v>0</v>
      </c>
      <c r="AY148" s="38">
        <v>0</v>
      </c>
      <c r="AZ148" s="38">
        <v>0</v>
      </c>
      <c r="BA148" s="38">
        <v>0</v>
      </c>
      <c r="BB148" s="38">
        <v>0</v>
      </c>
      <c r="BC148" s="38">
        <v>0</v>
      </c>
      <c r="BD148" s="38">
        <v>0</v>
      </c>
      <c r="BE148" s="38">
        <v>0</v>
      </c>
      <c r="BF148" s="38">
        <v>0</v>
      </c>
      <c r="BG148" s="40">
        <v>3</v>
      </c>
      <c r="BH148" s="40" t="s">
        <v>1417</v>
      </c>
      <c r="BI148" s="40">
        <v>0</v>
      </c>
    </row>
    <row r="149" spans="1:61" x14ac:dyDescent="0.25">
      <c r="A149" s="6">
        <v>147</v>
      </c>
      <c r="B149" s="6" t="s">
        <v>1497</v>
      </c>
      <c r="C149" s="6" t="s">
        <v>1497</v>
      </c>
      <c r="D149" s="6" t="s">
        <v>1497</v>
      </c>
      <c r="E149" s="6" t="s">
        <v>113</v>
      </c>
      <c r="F149" s="17">
        <v>44850.71875</v>
      </c>
      <c r="G149" s="21">
        <v>7</v>
      </c>
      <c r="H149" s="4">
        <f t="shared" si="8"/>
        <v>44851.010416666664</v>
      </c>
      <c r="I149" s="3">
        <v>10000</v>
      </c>
      <c r="J149" s="3">
        <v>18000</v>
      </c>
      <c r="K149" s="3">
        <f>I149*J149^2/2/4.184/10^12</f>
        <v>0.38718929254302098</v>
      </c>
      <c r="L149" s="3">
        <v>20</v>
      </c>
      <c r="M149" s="3">
        <v>63</v>
      </c>
      <c r="N149" s="3" t="s">
        <v>1334</v>
      </c>
      <c r="O149" s="3">
        <v>57.39425</v>
      </c>
      <c r="P149" s="3">
        <v>86.968710000000002</v>
      </c>
      <c r="Q149" s="3">
        <v>30000</v>
      </c>
      <c r="R149" s="3">
        <f>Q149</f>
        <v>30000</v>
      </c>
      <c r="S149" s="3">
        <v>18000</v>
      </c>
      <c r="T149" s="3">
        <v>65</v>
      </c>
      <c r="U149" s="3">
        <f>Q149</f>
        <v>30000</v>
      </c>
      <c r="V149" s="3" t="s">
        <v>144</v>
      </c>
      <c r="W149" s="3" t="s">
        <v>382</v>
      </c>
      <c r="X149" s="3">
        <v>0</v>
      </c>
      <c r="Y149" s="3">
        <v>60000</v>
      </c>
      <c r="Z149" s="3">
        <v>60000</v>
      </c>
      <c r="AA149" s="5">
        <v>5000</v>
      </c>
      <c r="AB149" s="5">
        <v>20</v>
      </c>
      <c r="AC149" s="5">
        <v>5</v>
      </c>
      <c r="AD149" s="5">
        <v>2.5000000000000001E-2</v>
      </c>
      <c r="AE149" s="5">
        <v>5.6000000000000001E-2</v>
      </c>
      <c r="AF149" s="5">
        <v>8000</v>
      </c>
      <c r="AG149" s="5">
        <v>-1.5</v>
      </c>
      <c r="AH149" s="5">
        <v>1.5</v>
      </c>
      <c r="AI149" s="45">
        <v>0</v>
      </c>
      <c r="AJ149" s="45">
        <v>0</v>
      </c>
      <c r="AK149" s="45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5">
        <v>0</v>
      </c>
      <c r="AS149" s="54">
        <v>0</v>
      </c>
      <c r="AT149" s="52">
        <v>0</v>
      </c>
      <c r="AU149" s="52">
        <v>0</v>
      </c>
      <c r="AV149" s="52">
        <v>0</v>
      </c>
      <c r="AW149" s="38">
        <v>0</v>
      </c>
      <c r="AX149" s="38">
        <v>0</v>
      </c>
      <c r="AY149" s="38">
        <v>0</v>
      </c>
      <c r="AZ149" s="38">
        <v>0</v>
      </c>
      <c r="BA149" s="38">
        <v>0</v>
      </c>
      <c r="BB149" s="38">
        <v>0</v>
      </c>
      <c r="BC149" s="38">
        <v>0</v>
      </c>
      <c r="BD149" s="38">
        <v>0</v>
      </c>
      <c r="BE149" s="38">
        <v>0</v>
      </c>
      <c r="BF149" s="38">
        <v>0</v>
      </c>
      <c r="BG149" s="40">
        <v>1</v>
      </c>
      <c r="BH149" s="40" t="s">
        <v>1499</v>
      </c>
      <c r="BI149" s="40">
        <v>0</v>
      </c>
    </row>
    <row r="150" spans="1:61" x14ac:dyDescent="0.25">
      <c r="A150" s="6">
        <v>148</v>
      </c>
      <c r="B150" s="6" t="s">
        <v>1502</v>
      </c>
      <c r="C150" s="6" t="s">
        <v>1501</v>
      </c>
      <c r="D150" s="6" t="s">
        <v>1370</v>
      </c>
      <c r="E150" s="6" t="s">
        <v>1371</v>
      </c>
      <c r="F150" s="17">
        <v>44857.815283090276</v>
      </c>
      <c r="G150" s="21">
        <v>0</v>
      </c>
      <c r="H150" s="4">
        <f t="shared" si="8"/>
        <v>44857.815283090276</v>
      </c>
      <c r="I150" s="3">
        <v>10</v>
      </c>
      <c r="J150" s="3">
        <v>13851.53</v>
      </c>
      <c r="K150" s="3">
        <f>I150*J150^2/2/4.184/10^12</f>
        <v>2.2928403840929732E-4</v>
      </c>
      <c r="L150" s="3">
        <v>352.5992</v>
      </c>
      <c r="M150" s="3">
        <v>51.124299999999998</v>
      </c>
      <c r="N150" s="3" t="s">
        <v>1334</v>
      </c>
      <c r="O150" s="3">
        <v>51.758006999999999</v>
      </c>
      <c r="P150" s="3">
        <v>-1.827628</v>
      </c>
      <c r="Q150" s="3">
        <v>30841</v>
      </c>
      <c r="R150" s="3">
        <v>30841</v>
      </c>
      <c r="S150" s="3">
        <v>5000</v>
      </c>
      <c r="T150" s="3">
        <f>M150</f>
        <v>51.124299999999998</v>
      </c>
      <c r="U150" s="3">
        <v>30841</v>
      </c>
      <c r="V150" s="3" t="s">
        <v>144</v>
      </c>
      <c r="W150" s="3" t="s">
        <v>382</v>
      </c>
      <c r="X150" s="3">
        <v>0</v>
      </c>
      <c r="Y150" s="3">
        <v>60000</v>
      </c>
      <c r="Z150" s="3">
        <v>60000</v>
      </c>
      <c r="AA150" s="5">
        <v>9.41</v>
      </c>
      <c r="AB150" s="5">
        <v>6.6400000000000001E-2</v>
      </c>
      <c r="AC150" s="5">
        <v>4.3200000000000002E-2</v>
      </c>
      <c r="AD150" s="5">
        <v>1E-4</v>
      </c>
      <c r="AE150" s="5">
        <v>2.9999999999999997E-4</v>
      </c>
      <c r="AF150" s="5">
        <v>10.32</v>
      </c>
      <c r="AG150" s="5">
        <v>-1.5</v>
      </c>
      <c r="AH150" s="5">
        <v>1.5</v>
      </c>
      <c r="AI150" s="45">
        <v>0</v>
      </c>
      <c r="AJ150" s="45">
        <v>0</v>
      </c>
      <c r="AK150" s="45">
        <v>0</v>
      </c>
      <c r="AL150" s="23">
        <v>0</v>
      </c>
      <c r="AM150" s="23">
        <v>0</v>
      </c>
      <c r="AN150" s="23">
        <v>0</v>
      </c>
      <c r="AO150" s="23">
        <v>0</v>
      </c>
      <c r="AP150" s="23">
        <v>0</v>
      </c>
      <c r="AQ150" s="23">
        <v>0</v>
      </c>
      <c r="AR150" s="25">
        <v>0</v>
      </c>
      <c r="AS150" s="54">
        <v>0</v>
      </c>
      <c r="AT150" s="52">
        <v>0</v>
      </c>
      <c r="AU150" s="52">
        <v>0</v>
      </c>
      <c r="AV150" s="52">
        <v>0</v>
      </c>
      <c r="AW150" s="38">
        <v>0</v>
      </c>
      <c r="AX150" s="38">
        <v>0</v>
      </c>
      <c r="AY150" s="38">
        <v>0</v>
      </c>
      <c r="AZ150" s="38">
        <v>0</v>
      </c>
      <c r="BA150" s="38">
        <v>0</v>
      </c>
      <c r="BB150" s="38">
        <v>0</v>
      </c>
      <c r="BC150" s="38">
        <v>135</v>
      </c>
      <c r="BD150" s="38">
        <v>0</v>
      </c>
      <c r="BE150" s="38">
        <v>0</v>
      </c>
      <c r="BF150" s="38">
        <v>0</v>
      </c>
      <c r="BG150" s="40">
        <v>3</v>
      </c>
      <c r="BH150" s="40" t="s">
        <v>1416</v>
      </c>
      <c r="BI150" s="40">
        <v>0</v>
      </c>
    </row>
    <row r="151" spans="1:61" x14ac:dyDescent="0.25">
      <c r="A151" s="6">
        <v>149</v>
      </c>
      <c r="B151" s="6" t="s">
        <v>1517</v>
      </c>
      <c r="C151" s="6" t="s">
        <v>1517</v>
      </c>
      <c r="D151" s="6" t="s">
        <v>101</v>
      </c>
      <c r="E151" s="6" t="s">
        <v>103</v>
      </c>
      <c r="F151" s="17">
        <v>44884.351898148147</v>
      </c>
      <c r="G151" s="21">
        <v>-5</v>
      </c>
      <c r="H151" s="4">
        <f t="shared" si="8"/>
        <v>44884.143564814811</v>
      </c>
      <c r="I151" s="3">
        <v>50</v>
      </c>
      <c r="J151" s="3">
        <v>17000</v>
      </c>
      <c r="K151" s="3">
        <f>I151*J151^2/2/4.184/10^12</f>
        <v>1.7268164435946462E-3</v>
      </c>
      <c r="L151" s="3">
        <v>54.683</v>
      </c>
      <c r="M151" s="3">
        <v>66.39</v>
      </c>
      <c r="N151" s="3" t="s">
        <v>1334</v>
      </c>
      <c r="O151" s="3">
        <v>43.331800000000001</v>
      </c>
      <c r="P151" s="3">
        <v>-79.242199999999997</v>
      </c>
      <c r="Q151" s="3">
        <v>24730</v>
      </c>
      <c r="R151" s="3">
        <v>24730</v>
      </c>
      <c r="S151" s="3">
        <v>5000</v>
      </c>
      <c r="T151" s="3">
        <v>66.399000000000001</v>
      </c>
      <c r="U151" s="3">
        <v>20000</v>
      </c>
      <c r="V151" s="3" t="s">
        <v>144</v>
      </c>
      <c r="W151" s="3" t="s">
        <v>382</v>
      </c>
      <c r="X151" s="3">
        <v>0</v>
      </c>
      <c r="Y151" s="3">
        <v>60000</v>
      </c>
      <c r="Z151" s="3">
        <v>60000</v>
      </c>
      <c r="AA151" s="5">
        <v>3000</v>
      </c>
      <c r="AB151" s="5">
        <v>1</v>
      </c>
      <c r="AC151" s="5">
        <v>3</v>
      </c>
      <c r="AD151" s="5">
        <v>5.0000000000000001E-3</v>
      </c>
      <c r="AE151" s="5">
        <v>5.0000000000000001E-3</v>
      </c>
      <c r="AF151" s="5">
        <v>5000</v>
      </c>
      <c r="AG151" s="5">
        <v>-1.5</v>
      </c>
      <c r="AH151" s="5">
        <v>1.5</v>
      </c>
      <c r="AI151" s="45">
        <v>0</v>
      </c>
      <c r="AJ151" s="45">
        <v>0</v>
      </c>
      <c r="AK151" s="45">
        <v>0</v>
      </c>
      <c r="AL151" s="23">
        <v>0</v>
      </c>
      <c r="AM151" s="23">
        <v>0</v>
      </c>
      <c r="AN151" s="23">
        <v>0</v>
      </c>
      <c r="AO151" s="23">
        <v>0</v>
      </c>
      <c r="AP151" s="23">
        <v>0</v>
      </c>
      <c r="AQ151" s="23">
        <v>0</v>
      </c>
      <c r="AR151" s="25">
        <v>0</v>
      </c>
      <c r="AS151" s="54">
        <v>0</v>
      </c>
      <c r="AT151" s="52">
        <v>0</v>
      </c>
      <c r="AU151" s="52">
        <v>0</v>
      </c>
      <c r="AV151" s="52">
        <v>0</v>
      </c>
      <c r="AW151" s="38">
        <v>0</v>
      </c>
      <c r="AX151" s="38">
        <v>0</v>
      </c>
      <c r="AY151" s="38">
        <v>0</v>
      </c>
      <c r="AZ151" s="38">
        <v>0</v>
      </c>
      <c r="BA151" s="38">
        <v>0</v>
      </c>
      <c r="BB151" s="38">
        <v>0</v>
      </c>
      <c r="BC151" s="38">
        <v>0</v>
      </c>
      <c r="BD151" s="38">
        <v>0</v>
      </c>
      <c r="BE151" s="38">
        <v>0</v>
      </c>
      <c r="BF151" s="38">
        <v>0</v>
      </c>
      <c r="BG151" s="40">
        <v>1</v>
      </c>
      <c r="BH151" s="40" t="s">
        <v>1416</v>
      </c>
      <c r="BI151" s="40">
        <v>0</v>
      </c>
    </row>
    <row r="152" spans="1:61" x14ac:dyDescent="0.25">
      <c r="A152" s="6">
        <v>150</v>
      </c>
      <c r="B152" s="6" t="s">
        <v>1518</v>
      </c>
      <c r="C152" s="6" t="s">
        <v>1517</v>
      </c>
      <c r="D152" s="6" t="s">
        <v>101</v>
      </c>
      <c r="E152" s="6" t="s">
        <v>103</v>
      </c>
      <c r="F152" s="17">
        <v>44884.351898148147</v>
      </c>
      <c r="G152" s="21">
        <v>-5</v>
      </c>
      <c r="H152" s="4">
        <v>44884.143564814811</v>
      </c>
      <c r="I152" s="3">
        <v>0.1</v>
      </c>
      <c r="J152" s="3">
        <v>50</v>
      </c>
      <c r="K152" s="3">
        <v>1.7268164435946462E-3</v>
      </c>
      <c r="L152" s="3">
        <v>90</v>
      </c>
      <c r="M152" s="3">
        <v>2</v>
      </c>
      <c r="N152" s="3" t="s">
        <v>1334</v>
      </c>
      <c r="O152" s="3">
        <v>43.204490500000006</v>
      </c>
      <c r="P152" s="3">
        <v>-79.460275999999993</v>
      </c>
      <c r="Q152" s="3">
        <v>17000</v>
      </c>
      <c r="R152" s="3">
        <v>17000</v>
      </c>
      <c r="S152" s="3">
        <v>50</v>
      </c>
      <c r="T152" s="3">
        <v>2</v>
      </c>
      <c r="U152" s="3">
        <v>16000</v>
      </c>
      <c r="V152" s="3" t="s">
        <v>144</v>
      </c>
      <c r="W152" s="3" t="s">
        <v>382</v>
      </c>
      <c r="X152" s="3">
        <v>0</v>
      </c>
      <c r="Y152" s="3">
        <v>18000</v>
      </c>
      <c r="Z152" s="3">
        <v>18000</v>
      </c>
      <c r="AA152" s="5">
        <v>30</v>
      </c>
      <c r="AB152" s="5">
        <v>10</v>
      </c>
      <c r="AC152" s="5">
        <v>2</v>
      </c>
      <c r="AD152" s="5">
        <v>1.7419499999995501E-2</v>
      </c>
      <c r="AE152" s="5">
        <v>9.7307999999998201E-2</v>
      </c>
      <c r="AF152" s="5">
        <v>1000</v>
      </c>
      <c r="AG152" s="5">
        <v>-1.5</v>
      </c>
      <c r="AH152" s="5">
        <v>1.5</v>
      </c>
      <c r="AI152" s="45">
        <v>0</v>
      </c>
      <c r="AJ152" s="45">
        <v>0</v>
      </c>
      <c r="AK152" s="45">
        <v>0</v>
      </c>
      <c r="AL152" s="23">
        <v>0</v>
      </c>
      <c r="AM152" s="23">
        <v>0</v>
      </c>
      <c r="AN152" s="23">
        <v>0</v>
      </c>
      <c r="AO152" s="23">
        <v>0</v>
      </c>
      <c r="AP152" s="23">
        <v>0</v>
      </c>
      <c r="AQ152" s="23">
        <v>0</v>
      </c>
      <c r="AR152" s="25">
        <v>0</v>
      </c>
      <c r="AS152" s="54">
        <v>0</v>
      </c>
      <c r="AT152" s="52">
        <v>0</v>
      </c>
      <c r="AU152" s="52">
        <v>0</v>
      </c>
      <c r="AV152" s="52">
        <v>0</v>
      </c>
      <c r="AW152" s="38">
        <v>0</v>
      </c>
      <c r="AX152" s="38">
        <v>0</v>
      </c>
      <c r="AY152" s="38">
        <v>0</v>
      </c>
      <c r="AZ152" s="38">
        <v>0</v>
      </c>
      <c r="BA152" s="38">
        <v>0</v>
      </c>
      <c r="BB152" s="38">
        <v>0</v>
      </c>
      <c r="BC152" s="38">
        <v>0</v>
      </c>
      <c r="BD152" s="38">
        <v>0</v>
      </c>
      <c r="BE152" s="38">
        <v>0</v>
      </c>
      <c r="BF152" s="38">
        <v>0</v>
      </c>
      <c r="BG152" s="40">
        <v>1</v>
      </c>
      <c r="BH152" s="40" t="s">
        <v>1416</v>
      </c>
      <c r="BI152" s="40">
        <v>0</v>
      </c>
    </row>
    <row r="153" spans="1:61" x14ac:dyDescent="0.25">
      <c r="A153" s="6">
        <v>151</v>
      </c>
      <c r="B153" s="6" t="s">
        <v>1519</v>
      </c>
      <c r="C153" s="6" t="s">
        <v>1519</v>
      </c>
      <c r="D153" s="6" t="s">
        <v>1520</v>
      </c>
      <c r="E153" s="6" t="s">
        <v>63</v>
      </c>
      <c r="F153" s="17">
        <v>44924.286215277774</v>
      </c>
      <c r="G153" s="21">
        <v>8</v>
      </c>
      <c r="H153" s="4">
        <f t="shared" ref="H153:H196" si="10">F153+G153/24</f>
        <v>44924.61954861111</v>
      </c>
      <c r="I153" s="3">
        <v>6195</v>
      </c>
      <c r="J153" s="3">
        <v>16440</v>
      </c>
      <c r="K153" s="3">
        <f t="shared" ref="K153:K161" si="11">I153*J153^2/2/4.184/10^12</f>
        <v>0.20008902390057362</v>
      </c>
      <c r="L153" s="3">
        <v>63.3</v>
      </c>
      <c r="M153" s="3">
        <v>1.6</v>
      </c>
      <c r="N153" s="3" t="s">
        <v>1334</v>
      </c>
      <c r="O153" s="3">
        <v>42.3</v>
      </c>
      <c r="P153" s="3">
        <v>92.9</v>
      </c>
      <c r="Q153" s="3">
        <v>32300</v>
      </c>
      <c r="R153" s="3">
        <v>32300</v>
      </c>
      <c r="S153" s="3">
        <v>5000</v>
      </c>
      <c r="T153" s="3">
        <v>1.6</v>
      </c>
      <c r="U153" s="3">
        <v>32300</v>
      </c>
      <c r="V153" s="3" t="s">
        <v>144</v>
      </c>
      <c r="W153" s="3" t="s">
        <v>382</v>
      </c>
      <c r="X153" s="3">
        <v>0</v>
      </c>
      <c r="Y153" s="3">
        <v>60000</v>
      </c>
      <c r="Z153" s="3">
        <v>60000</v>
      </c>
      <c r="AA153" s="5">
        <v>1000</v>
      </c>
      <c r="AB153" s="5">
        <v>2</v>
      </c>
      <c r="AC153" s="5">
        <v>1.6</v>
      </c>
      <c r="AD153" s="5">
        <v>0.05</v>
      </c>
      <c r="AE153" s="5">
        <v>0.05</v>
      </c>
      <c r="AF153" s="5">
        <v>1000</v>
      </c>
      <c r="AG153" s="5">
        <v>-1.5</v>
      </c>
      <c r="AH153" s="5">
        <v>1.5</v>
      </c>
      <c r="AI153" s="45">
        <v>0</v>
      </c>
      <c r="AJ153" s="45">
        <v>0</v>
      </c>
      <c r="AK153" s="45">
        <v>0</v>
      </c>
      <c r="AL153" s="23">
        <v>0</v>
      </c>
      <c r="AM153" s="23">
        <v>0</v>
      </c>
      <c r="AN153" s="23">
        <v>0</v>
      </c>
      <c r="AO153" s="23">
        <v>0</v>
      </c>
      <c r="AP153" s="23">
        <v>0</v>
      </c>
      <c r="AQ153" s="23">
        <v>0</v>
      </c>
      <c r="AR153" s="25">
        <v>0</v>
      </c>
      <c r="AS153" s="54">
        <v>0</v>
      </c>
      <c r="AT153" s="52">
        <v>0</v>
      </c>
      <c r="AU153" s="52">
        <v>0</v>
      </c>
      <c r="AV153" s="52">
        <v>0</v>
      </c>
      <c r="AW153" s="38">
        <v>0</v>
      </c>
      <c r="AX153" s="38">
        <v>0</v>
      </c>
      <c r="AY153" s="38">
        <v>0</v>
      </c>
      <c r="AZ153" s="38">
        <v>0</v>
      </c>
      <c r="BA153" s="38">
        <v>0</v>
      </c>
      <c r="BB153" s="38">
        <v>0</v>
      </c>
      <c r="BC153" s="38">
        <v>0</v>
      </c>
      <c r="BD153" s="38">
        <v>0</v>
      </c>
      <c r="BE153" s="38">
        <v>0</v>
      </c>
      <c r="BF153" s="38">
        <v>0</v>
      </c>
      <c r="BG153" s="40">
        <v>2</v>
      </c>
      <c r="BH153" s="40" t="s">
        <v>1416</v>
      </c>
      <c r="BI153" s="40">
        <v>0</v>
      </c>
    </row>
    <row r="154" spans="1:61" x14ac:dyDescent="0.25">
      <c r="A154" s="6">
        <v>152</v>
      </c>
      <c r="B154" s="6" t="s">
        <v>1521</v>
      </c>
      <c r="C154" s="6" t="s">
        <v>1521</v>
      </c>
      <c r="D154" s="6" t="s">
        <v>1390</v>
      </c>
      <c r="E154" s="6" t="s">
        <v>4</v>
      </c>
      <c r="F154" s="17">
        <v>44937.032372685186</v>
      </c>
      <c r="G154" s="21">
        <v>-6</v>
      </c>
      <c r="H154" s="4">
        <f t="shared" si="10"/>
        <v>44936.782372685186</v>
      </c>
      <c r="I154" s="3">
        <v>50</v>
      </c>
      <c r="J154" s="3">
        <v>12500</v>
      </c>
      <c r="K154" s="3">
        <f t="shared" si="11"/>
        <v>9.3361615678776285E-4</v>
      </c>
      <c r="L154" s="3">
        <v>51</v>
      </c>
      <c r="M154" s="3">
        <v>39</v>
      </c>
      <c r="N154" s="3" t="s">
        <v>1334</v>
      </c>
      <c r="O154" s="3">
        <v>30.844861000000002</v>
      </c>
      <c r="P154" s="3">
        <v>-97.877561999999998</v>
      </c>
      <c r="Q154" s="3">
        <v>43000</v>
      </c>
      <c r="R154" s="3">
        <v>43000</v>
      </c>
      <c r="S154" s="3">
        <v>5000</v>
      </c>
      <c r="T154" s="3">
        <v>39</v>
      </c>
      <c r="U154" s="3">
        <v>42000</v>
      </c>
      <c r="V154" s="3" t="s">
        <v>144</v>
      </c>
      <c r="W154" s="3" t="s">
        <v>382</v>
      </c>
      <c r="X154" s="3">
        <v>0</v>
      </c>
      <c r="Y154" s="3">
        <v>60000</v>
      </c>
      <c r="Z154" s="3">
        <v>60000</v>
      </c>
      <c r="AA154" s="5">
        <v>1500</v>
      </c>
      <c r="AB154" s="5">
        <v>6</v>
      </c>
      <c r="AC154" s="5">
        <v>3</v>
      </c>
      <c r="AD154" s="5">
        <v>7.0000000000000001E-3</v>
      </c>
      <c r="AE154" s="5">
        <v>4.4999999999999998E-2</v>
      </c>
      <c r="AF154" s="5">
        <v>2500</v>
      </c>
      <c r="AG154" s="5">
        <v>-1.5</v>
      </c>
      <c r="AH154" s="5">
        <v>1.5</v>
      </c>
      <c r="AI154" s="45">
        <v>0</v>
      </c>
      <c r="AJ154" s="45">
        <v>0</v>
      </c>
      <c r="AK154" s="45">
        <v>0</v>
      </c>
      <c r="AL154" s="23">
        <v>0</v>
      </c>
      <c r="AM154" s="23">
        <v>0</v>
      </c>
      <c r="AN154" s="23">
        <v>0</v>
      </c>
      <c r="AO154" s="23">
        <v>0</v>
      </c>
      <c r="AP154" s="23">
        <v>0</v>
      </c>
      <c r="AQ154" s="23">
        <v>0</v>
      </c>
      <c r="AR154" s="25">
        <v>0</v>
      </c>
      <c r="AS154" s="54">
        <v>0</v>
      </c>
      <c r="AT154" s="52">
        <v>0</v>
      </c>
      <c r="AU154" s="52">
        <v>0</v>
      </c>
      <c r="AV154" s="52">
        <v>0</v>
      </c>
      <c r="AW154" s="38">
        <v>0</v>
      </c>
      <c r="AX154" s="38">
        <v>0</v>
      </c>
      <c r="AY154" s="38">
        <v>0</v>
      </c>
      <c r="AZ154" s="38">
        <v>0</v>
      </c>
      <c r="BA154" s="38">
        <v>0</v>
      </c>
      <c r="BB154" s="38">
        <v>0</v>
      </c>
      <c r="BC154" s="38">
        <v>0</v>
      </c>
      <c r="BD154" s="38">
        <v>0</v>
      </c>
      <c r="BE154" s="38">
        <v>0</v>
      </c>
      <c r="BF154" s="38">
        <v>0</v>
      </c>
      <c r="BG154" s="40">
        <v>3</v>
      </c>
      <c r="BH154" s="40" t="s">
        <v>1416</v>
      </c>
      <c r="BI154" s="40">
        <v>0</v>
      </c>
    </row>
    <row r="155" spans="1:61" x14ac:dyDescent="0.25">
      <c r="A155" s="6">
        <v>153</v>
      </c>
      <c r="B155" s="6" t="s">
        <v>1522</v>
      </c>
      <c r="C155" s="6" t="s">
        <v>1522</v>
      </c>
      <c r="D155" s="6" t="s">
        <v>1523</v>
      </c>
      <c r="E155" s="6" t="s">
        <v>4</v>
      </c>
      <c r="F155" s="17">
        <v>44946.401967592596</v>
      </c>
      <c r="G155" s="21">
        <v>-6</v>
      </c>
      <c r="H155" s="4">
        <f t="shared" si="10"/>
        <v>44946.151967592596</v>
      </c>
      <c r="I155" s="3">
        <v>75</v>
      </c>
      <c r="J155" s="3">
        <v>14000</v>
      </c>
      <c r="K155" s="3">
        <f t="shared" si="11"/>
        <v>1.7566921606118546E-3</v>
      </c>
      <c r="L155" s="3">
        <v>175</v>
      </c>
      <c r="M155" s="3">
        <v>59</v>
      </c>
      <c r="N155" s="3" t="s">
        <v>1334</v>
      </c>
      <c r="O155" s="3">
        <v>35.6509815</v>
      </c>
      <c r="P155" s="3">
        <v>-95.404224999999997</v>
      </c>
      <c r="Q155" s="3">
        <v>17789.5</v>
      </c>
      <c r="R155" s="3">
        <f>Q155</f>
        <v>17789.5</v>
      </c>
      <c r="S155" s="3">
        <v>5000</v>
      </c>
      <c r="T155" s="3">
        <f t="shared" ref="T155:T161" si="12">M155</f>
        <v>59</v>
      </c>
      <c r="U155" s="3">
        <f>Q155</f>
        <v>17789.5</v>
      </c>
      <c r="V155" s="3" t="s">
        <v>81</v>
      </c>
      <c r="W155" s="3" t="s">
        <v>382</v>
      </c>
      <c r="X155" s="3">
        <v>0</v>
      </c>
      <c r="Y155" s="3">
        <v>60000</v>
      </c>
      <c r="Z155" s="3">
        <v>60000</v>
      </c>
      <c r="AA155" s="5">
        <v>1000</v>
      </c>
      <c r="AB155" s="5">
        <v>3</v>
      </c>
      <c r="AC155" s="5">
        <v>3</v>
      </c>
      <c r="AD155" s="5">
        <v>5.0000000000000001E-3</v>
      </c>
      <c r="AE155" s="5">
        <v>6.0000000000000001E-3</v>
      </c>
      <c r="AF155" s="5">
        <v>310</v>
      </c>
      <c r="AG155" s="5">
        <v>-1</v>
      </c>
      <c r="AH155" s="5">
        <v>1</v>
      </c>
      <c r="AI155" s="45">
        <v>0</v>
      </c>
      <c r="AJ155" s="45">
        <v>0</v>
      </c>
      <c r="AK155" s="45">
        <v>0</v>
      </c>
      <c r="AL155" s="23">
        <v>0</v>
      </c>
      <c r="AM155" s="23">
        <v>6</v>
      </c>
      <c r="AN155" s="23">
        <v>1.3640000000000001</v>
      </c>
      <c r="AO155" s="23">
        <v>0</v>
      </c>
      <c r="AP155" s="23">
        <v>0</v>
      </c>
      <c r="AQ155" s="23">
        <v>0</v>
      </c>
      <c r="AR155" s="25">
        <v>0</v>
      </c>
      <c r="AS155" s="54">
        <v>0</v>
      </c>
      <c r="AT155" s="52">
        <v>0</v>
      </c>
      <c r="AU155" s="52">
        <v>0</v>
      </c>
      <c r="AV155" s="52">
        <v>0</v>
      </c>
      <c r="AW155" s="38">
        <v>0</v>
      </c>
      <c r="AX155" s="38">
        <v>0</v>
      </c>
      <c r="AY155" s="38">
        <v>0</v>
      </c>
      <c r="AZ155" s="38">
        <v>0</v>
      </c>
      <c r="BA155" s="38">
        <v>0</v>
      </c>
      <c r="BB155" s="38">
        <v>0</v>
      </c>
      <c r="BC155" s="38">
        <v>0</v>
      </c>
      <c r="BD155" s="38">
        <v>0</v>
      </c>
      <c r="BE155" s="38">
        <v>0</v>
      </c>
      <c r="BF155" s="38">
        <v>0</v>
      </c>
      <c r="BG155" s="40">
        <v>4</v>
      </c>
      <c r="BH155" s="40" t="s">
        <v>1416</v>
      </c>
      <c r="BI155" s="40">
        <v>0</v>
      </c>
    </row>
    <row r="156" spans="1:61" x14ac:dyDescent="0.25">
      <c r="A156" s="6">
        <v>154</v>
      </c>
      <c r="B156" s="6" t="s">
        <v>1524</v>
      </c>
      <c r="C156" s="6" t="s">
        <v>1524</v>
      </c>
      <c r="D156" s="6" t="s">
        <v>1525</v>
      </c>
      <c r="E156" s="6" t="s">
        <v>1093</v>
      </c>
      <c r="F156" s="17">
        <v>44951.141550925924</v>
      </c>
      <c r="G156" s="21">
        <v>1</v>
      </c>
      <c r="H156" s="4">
        <f t="shared" si="10"/>
        <v>44951.183217592588</v>
      </c>
      <c r="I156" s="3">
        <v>11</v>
      </c>
      <c r="J156" s="3">
        <v>26000</v>
      </c>
      <c r="K156" s="3">
        <f t="shared" si="11"/>
        <v>8.8862332695984695E-4</v>
      </c>
      <c r="L156" s="3">
        <v>65.3</v>
      </c>
      <c r="M156" s="3">
        <v>56.5</v>
      </c>
      <c r="N156" s="3" t="s">
        <v>1334</v>
      </c>
      <c r="O156" s="3">
        <v>48.955202999999997</v>
      </c>
      <c r="P156" s="3">
        <v>23.286076999999999</v>
      </c>
      <c r="Q156" s="3">
        <v>25700</v>
      </c>
      <c r="R156" s="3">
        <v>25700</v>
      </c>
      <c r="S156" s="3">
        <v>5000</v>
      </c>
      <c r="T156" s="3">
        <f t="shared" si="12"/>
        <v>56.5</v>
      </c>
      <c r="U156" s="3">
        <f>Q156</f>
        <v>25700</v>
      </c>
      <c r="V156" s="3" t="s">
        <v>144</v>
      </c>
      <c r="W156" s="3" t="s">
        <v>382</v>
      </c>
      <c r="X156" s="3">
        <v>0</v>
      </c>
      <c r="Y156" s="3">
        <v>60000</v>
      </c>
      <c r="Z156" s="3">
        <v>60000</v>
      </c>
      <c r="AA156" s="5">
        <v>3000</v>
      </c>
      <c r="AB156" s="5">
        <v>2</v>
      </c>
      <c r="AC156" s="5">
        <v>2</v>
      </c>
      <c r="AD156" s="5">
        <v>5.0000000000000001E-3</v>
      </c>
      <c r="AE156" s="5">
        <v>5.0000000000000001E-3</v>
      </c>
      <c r="AF156" s="5">
        <v>1000</v>
      </c>
      <c r="AG156" s="5">
        <v>-1.5</v>
      </c>
      <c r="AH156" s="5">
        <v>1.5</v>
      </c>
      <c r="AI156" s="45">
        <v>0</v>
      </c>
      <c r="AJ156" s="45">
        <v>0</v>
      </c>
      <c r="AK156" s="45">
        <v>0</v>
      </c>
      <c r="AL156" s="23">
        <v>0</v>
      </c>
      <c r="AM156" s="23">
        <v>0</v>
      </c>
      <c r="AN156" s="23">
        <v>0</v>
      </c>
      <c r="AO156" s="23">
        <v>0</v>
      </c>
      <c r="AP156" s="23">
        <v>0</v>
      </c>
      <c r="AQ156" s="23">
        <v>0</v>
      </c>
      <c r="AR156" s="25">
        <v>0</v>
      </c>
      <c r="AS156" s="54">
        <v>0</v>
      </c>
      <c r="AT156" s="52">
        <v>0</v>
      </c>
      <c r="AU156" s="52">
        <v>0</v>
      </c>
      <c r="AV156" s="52">
        <v>0</v>
      </c>
      <c r="AW156" s="38">
        <v>0</v>
      </c>
      <c r="AX156" s="38">
        <v>0</v>
      </c>
      <c r="AY156" s="38">
        <v>0</v>
      </c>
      <c r="AZ156" s="38">
        <v>0</v>
      </c>
      <c r="BA156" s="38">
        <v>0</v>
      </c>
      <c r="BB156" s="38">
        <v>0</v>
      </c>
      <c r="BC156" s="38">
        <v>136</v>
      </c>
      <c r="BD156" s="38">
        <v>0</v>
      </c>
      <c r="BE156" s="38">
        <v>0</v>
      </c>
      <c r="BF156" s="38">
        <v>0</v>
      </c>
      <c r="BG156" s="40">
        <v>3</v>
      </c>
      <c r="BH156" s="40" t="s">
        <v>1487</v>
      </c>
      <c r="BI156" s="40">
        <v>0</v>
      </c>
    </row>
    <row r="157" spans="1:61" x14ac:dyDescent="0.25">
      <c r="A157" s="6">
        <v>155</v>
      </c>
      <c r="B157" s="6" t="s">
        <v>1538</v>
      </c>
      <c r="C157" s="6" t="s">
        <v>1535</v>
      </c>
      <c r="D157" s="6" t="s">
        <v>1536</v>
      </c>
      <c r="E157" s="6" t="s">
        <v>631</v>
      </c>
      <c r="F157" s="17">
        <v>44970.124502314815</v>
      </c>
      <c r="G157" s="21">
        <v>1</v>
      </c>
      <c r="H157" s="4">
        <f t="shared" si="10"/>
        <v>44970.166168981479</v>
      </c>
      <c r="I157" s="3">
        <v>1727</v>
      </c>
      <c r="J157" s="3">
        <v>14060.9</v>
      </c>
      <c r="K157" s="3">
        <f t="shared" si="11"/>
        <v>4.0803451901872602E-2</v>
      </c>
      <c r="L157" s="3">
        <v>102.16289999999999</v>
      </c>
      <c r="M157" s="3">
        <f>90-48.5766</f>
        <v>41.423400000000001</v>
      </c>
      <c r="N157" s="3" t="s">
        <v>1334</v>
      </c>
      <c r="O157" s="3">
        <v>49.831260999999998</v>
      </c>
      <c r="P157" s="3">
        <v>0.50337500000000002</v>
      </c>
      <c r="Q157" s="3">
        <v>44751.68</v>
      </c>
      <c r="R157" s="3">
        <f>Q157</f>
        <v>44751.68</v>
      </c>
      <c r="S157" s="3">
        <v>5000</v>
      </c>
      <c r="T157" s="3">
        <f t="shared" si="12"/>
        <v>41.423400000000001</v>
      </c>
      <c r="U157" s="3">
        <v>21327</v>
      </c>
      <c r="V157" s="3" t="s">
        <v>1433</v>
      </c>
      <c r="W157" s="3" t="s">
        <v>1545</v>
      </c>
      <c r="X157" s="3">
        <v>3300</v>
      </c>
      <c r="Y157" s="3">
        <v>60000</v>
      </c>
      <c r="Z157" s="3">
        <v>60000</v>
      </c>
      <c r="AA157" s="5">
        <v>82.8</v>
      </c>
      <c r="AB157" s="5">
        <v>0.46010000000000001</v>
      </c>
      <c r="AC157" s="5">
        <v>0.19919999999999999</v>
      </c>
      <c r="AD157" s="5">
        <v>1E-3</v>
      </c>
      <c r="AE157" s="5">
        <v>6.9999999999999999E-4</v>
      </c>
      <c r="AF157" s="5">
        <v>45.37</v>
      </c>
      <c r="AG157" s="5">
        <v>-1</v>
      </c>
      <c r="AH157" s="5">
        <v>1</v>
      </c>
      <c r="AI157" s="45">
        <v>0</v>
      </c>
      <c r="AJ157" s="45">
        <v>0</v>
      </c>
      <c r="AK157" s="45">
        <v>0</v>
      </c>
      <c r="AL157" s="23">
        <v>0</v>
      </c>
      <c r="AM157" s="23">
        <v>16</v>
      </c>
      <c r="AN157" s="23">
        <v>0.86099999999999999</v>
      </c>
      <c r="AO157" s="23">
        <v>0</v>
      </c>
      <c r="AP157" s="23">
        <v>0</v>
      </c>
      <c r="AQ157" s="23">
        <v>0</v>
      </c>
      <c r="AR157" s="25">
        <v>0</v>
      </c>
      <c r="AS157" s="54">
        <v>0</v>
      </c>
      <c r="AT157" s="52">
        <v>0</v>
      </c>
      <c r="AU157" s="52">
        <v>0</v>
      </c>
      <c r="AV157" s="52">
        <v>0</v>
      </c>
      <c r="AW157" s="38">
        <v>0</v>
      </c>
      <c r="AX157" s="38">
        <v>0</v>
      </c>
      <c r="AY157" s="38">
        <v>0</v>
      </c>
      <c r="AZ157" s="38">
        <v>0</v>
      </c>
      <c r="BA157" s="38">
        <v>0</v>
      </c>
      <c r="BB157" s="38">
        <v>0</v>
      </c>
      <c r="BC157" s="38">
        <v>135</v>
      </c>
      <c r="BD157" s="38">
        <v>0</v>
      </c>
      <c r="BE157" s="38">
        <v>0</v>
      </c>
      <c r="BF157" s="38">
        <v>0</v>
      </c>
      <c r="BG157" s="40">
        <v>4</v>
      </c>
      <c r="BH157" s="40" t="s">
        <v>1416</v>
      </c>
      <c r="BI157" s="40">
        <v>0</v>
      </c>
    </row>
    <row r="158" spans="1:61" x14ac:dyDescent="0.25">
      <c r="A158" s="6">
        <v>156</v>
      </c>
      <c r="B158" s="6" t="s">
        <v>1539</v>
      </c>
      <c r="C158" s="6" t="s">
        <v>1535</v>
      </c>
      <c r="D158" s="6" t="s">
        <v>1536</v>
      </c>
      <c r="E158" s="6" t="s">
        <v>631</v>
      </c>
      <c r="F158" s="17">
        <v>44970.124502314815</v>
      </c>
      <c r="G158" s="21">
        <v>1</v>
      </c>
      <c r="H158" s="4">
        <f t="shared" si="10"/>
        <v>44970.166168981479</v>
      </c>
      <c r="I158" s="3">
        <v>1727</v>
      </c>
      <c r="J158" s="3">
        <v>14016</v>
      </c>
      <c r="K158" s="3">
        <f t="shared" si="11"/>
        <v>4.0543276543021034E-2</v>
      </c>
      <c r="L158" s="3">
        <v>102.0441</v>
      </c>
      <c r="M158" s="3">
        <v>41.272100000000002</v>
      </c>
      <c r="N158" s="3" t="s">
        <v>1334</v>
      </c>
      <c r="O158" s="3">
        <v>49.808813999999998</v>
      </c>
      <c r="P158" s="3">
        <v>0.67460299999999995</v>
      </c>
      <c r="Q158" s="3">
        <v>30000</v>
      </c>
      <c r="R158" s="3">
        <f>Q158</f>
        <v>30000</v>
      </c>
      <c r="S158" s="3">
        <v>5000</v>
      </c>
      <c r="T158" s="3">
        <f t="shared" si="12"/>
        <v>41.272100000000002</v>
      </c>
      <c r="U158" s="3">
        <v>21327</v>
      </c>
      <c r="V158" s="3" t="s">
        <v>81</v>
      </c>
      <c r="W158" s="3" t="s">
        <v>382</v>
      </c>
      <c r="X158" s="3">
        <v>0</v>
      </c>
      <c r="Y158" s="3">
        <v>60000</v>
      </c>
      <c r="Z158" s="3">
        <v>60000</v>
      </c>
      <c r="AA158" s="5">
        <v>45</v>
      </c>
      <c r="AB158" s="5">
        <v>0.46010000000000001</v>
      </c>
      <c r="AC158" s="5">
        <v>0.19919999999999999</v>
      </c>
      <c r="AD158" s="5">
        <v>1E-3</v>
      </c>
      <c r="AE158" s="5">
        <v>6.9999999999999999E-4</v>
      </c>
      <c r="AF158" s="5">
        <v>45.37</v>
      </c>
      <c r="AG158" s="5">
        <v>-1.5</v>
      </c>
      <c r="AH158" s="5">
        <v>-0.5</v>
      </c>
      <c r="AI158" s="45">
        <v>0</v>
      </c>
      <c r="AJ158" s="45">
        <v>0</v>
      </c>
      <c r="AK158" s="45">
        <v>0</v>
      </c>
      <c r="AL158" s="23">
        <v>0</v>
      </c>
      <c r="AM158" s="23">
        <v>0</v>
      </c>
      <c r="AN158" s="23">
        <v>0</v>
      </c>
      <c r="AO158" s="23">
        <v>0</v>
      </c>
      <c r="AP158" s="23">
        <v>0</v>
      </c>
      <c r="AQ158" s="23">
        <v>0</v>
      </c>
      <c r="AR158" s="25">
        <v>0</v>
      </c>
      <c r="AS158" s="54">
        <v>0</v>
      </c>
      <c r="AT158" s="52">
        <v>0</v>
      </c>
      <c r="AU158" s="52">
        <v>0</v>
      </c>
      <c r="AV158" s="52">
        <v>0</v>
      </c>
      <c r="AW158" s="38">
        <v>0</v>
      </c>
      <c r="AX158" s="38">
        <v>0</v>
      </c>
      <c r="AY158" s="38">
        <v>0</v>
      </c>
      <c r="AZ158" s="38">
        <v>0</v>
      </c>
      <c r="BA158" s="38">
        <v>0</v>
      </c>
      <c r="BB158" s="38">
        <v>0</v>
      </c>
      <c r="BC158" s="38">
        <v>0</v>
      </c>
      <c r="BD158" s="38">
        <v>0</v>
      </c>
      <c r="BE158" s="38">
        <v>0</v>
      </c>
      <c r="BF158" s="38">
        <v>0</v>
      </c>
      <c r="BG158" s="40">
        <v>4</v>
      </c>
      <c r="BH158" s="40" t="s">
        <v>1416</v>
      </c>
      <c r="BI158" s="40">
        <v>0</v>
      </c>
    </row>
    <row r="159" spans="1:61" x14ac:dyDescent="0.25">
      <c r="A159" s="6">
        <v>157</v>
      </c>
      <c r="B159" s="6" t="s">
        <v>1537</v>
      </c>
      <c r="C159" s="6" t="s">
        <v>1537</v>
      </c>
      <c r="D159" s="6" t="s">
        <v>1390</v>
      </c>
      <c r="E159" s="6" t="s">
        <v>4</v>
      </c>
      <c r="F159" s="17">
        <v>44972.973611111112</v>
      </c>
      <c r="G159" s="21">
        <v>-6</v>
      </c>
      <c r="H159" s="4">
        <f t="shared" si="10"/>
        <v>44972.723611111112</v>
      </c>
      <c r="I159" s="3">
        <v>453</v>
      </c>
      <c r="J159" s="3">
        <v>15000</v>
      </c>
      <c r="K159" s="3">
        <f t="shared" si="11"/>
        <v>1.2180329827915868E-2</v>
      </c>
      <c r="L159" s="3">
        <v>327.2</v>
      </c>
      <c r="M159" s="3">
        <v>53.6</v>
      </c>
      <c r="N159" s="3" t="s">
        <v>1334</v>
      </c>
      <c r="O159" s="3">
        <v>26.578866000000001</v>
      </c>
      <c r="P159" s="3">
        <v>-98.846598</v>
      </c>
      <c r="Q159" s="3">
        <v>25000</v>
      </c>
      <c r="R159" s="3">
        <v>25000</v>
      </c>
      <c r="S159" s="3">
        <v>5000</v>
      </c>
      <c r="T159" s="3">
        <f t="shared" si="12"/>
        <v>53.6</v>
      </c>
      <c r="U159" s="3">
        <v>25000</v>
      </c>
      <c r="V159" s="3" t="s">
        <v>144</v>
      </c>
      <c r="W159" s="3" t="s">
        <v>382</v>
      </c>
      <c r="X159" s="3">
        <v>0</v>
      </c>
      <c r="Y159" s="3">
        <v>60000</v>
      </c>
      <c r="Z159" s="3">
        <v>60000</v>
      </c>
      <c r="AA159" s="5">
        <v>3000</v>
      </c>
      <c r="AB159" s="5">
        <v>5</v>
      </c>
      <c r="AC159" s="5">
        <v>5</v>
      </c>
      <c r="AD159" s="5">
        <v>0.01</v>
      </c>
      <c r="AE159" s="5">
        <v>0.01</v>
      </c>
      <c r="AF159" s="5">
        <v>3000</v>
      </c>
      <c r="AG159" s="5">
        <v>-1.5</v>
      </c>
      <c r="AH159" s="5">
        <v>1.5</v>
      </c>
      <c r="AI159" s="45">
        <v>0</v>
      </c>
      <c r="AJ159" s="45">
        <v>0</v>
      </c>
      <c r="AK159" s="45">
        <v>0</v>
      </c>
      <c r="AL159" s="23">
        <v>0</v>
      </c>
      <c r="AM159" s="23">
        <v>10</v>
      </c>
      <c r="AN159" s="23">
        <v>2</v>
      </c>
      <c r="AO159" s="23">
        <v>0</v>
      </c>
      <c r="AP159" s="23">
        <v>0</v>
      </c>
      <c r="AQ159" s="23">
        <v>0</v>
      </c>
      <c r="AR159" s="25">
        <v>0</v>
      </c>
      <c r="AS159" s="54">
        <v>0</v>
      </c>
      <c r="AT159" s="52">
        <v>0</v>
      </c>
      <c r="AU159" s="52">
        <v>0</v>
      </c>
      <c r="AV159" s="52">
        <v>0</v>
      </c>
      <c r="AW159" s="38">
        <v>0</v>
      </c>
      <c r="AX159" s="38">
        <v>0</v>
      </c>
      <c r="AY159" s="38">
        <v>0</v>
      </c>
      <c r="AZ159" s="38">
        <v>0</v>
      </c>
      <c r="BA159" s="38">
        <v>0</v>
      </c>
      <c r="BB159" s="38">
        <v>0</v>
      </c>
      <c r="BC159" s="38">
        <v>2</v>
      </c>
      <c r="BD159" s="38">
        <v>0</v>
      </c>
      <c r="BE159" s="38">
        <v>0</v>
      </c>
      <c r="BF159" s="38">
        <v>0</v>
      </c>
      <c r="BG159" s="40">
        <v>1</v>
      </c>
      <c r="BH159" s="40" t="s">
        <v>1416</v>
      </c>
      <c r="BI159" s="40">
        <v>0</v>
      </c>
    </row>
    <row r="160" spans="1:61" x14ac:dyDescent="0.25">
      <c r="A160" s="6">
        <v>159</v>
      </c>
      <c r="B160" s="6" t="s">
        <v>1540</v>
      </c>
      <c r="C160" s="6" t="s">
        <v>1540</v>
      </c>
      <c r="D160" s="6" t="s">
        <v>1541</v>
      </c>
      <c r="E160" s="6" t="s">
        <v>142</v>
      </c>
      <c r="F160" s="17">
        <v>44965.966666666667</v>
      </c>
      <c r="G160" s="21">
        <v>1</v>
      </c>
      <c r="H160" s="4">
        <f t="shared" si="10"/>
        <v>44966.008333333331</v>
      </c>
      <c r="I160" s="3">
        <v>16</v>
      </c>
      <c r="J160" s="3">
        <v>12500</v>
      </c>
      <c r="K160" s="3">
        <f t="shared" si="11"/>
        <v>2.9875717017208408E-4</v>
      </c>
      <c r="L160" s="3">
        <v>95.39</v>
      </c>
      <c r="M160" s="3">
        <v>24.6</v>
      </c>
      <c r="N160" s="3" t="s">
        <v>1334</v>
      </c>
      <c r="O160" s="3">
        <v>51.498026000000003</v>
      </c>
      <c r="P160" s="3">
        <v>12.788249</v>
      </c>
      <c r="Q160" s="3">
        <v>26000</v>
      </c>
      <c r="R160" s="3">
        <v>26000</v>
      </c>
      <c r="S160" s="3">
        <v>5000</v>
      </c>
      <c r="T160" s="3">
        <f t="shared" si="12"/>
        <v>24.6</v>
      </c>
      <c r="U160" s="3">
        <f>R160</f>
        <v>26000</v>
      </c>
      <c r="V160" s="3" t="s">
        <v>144</v>
      </c>
      <c r="W160" s="3" t="s">
        <v>382</v>
      </c>
      <c r="X160" s="3">
        <v>0</v>
      </c>
      <c r="Y160" s="3">
        <v>60000</v>
      </c>
      <c r="Z160" s="3">
        <v>60000</v>
      </c>
      <c r="AA160" s="5">
        <v>200</v>
      </c>
      <c r="AB160" s="5">
        <v>0.46010000000000001</v>
      </c>
      <c r="AC160" s="5">
        <v>0.19919999999999999</v>
      </c>
      <c r="AD160" s="5">
        <v>1E-3</v>
      </c>
      <c r="AE160" s="5">
        <v>6.9999999999999999E-4</v>
      </c>
      <c r="AF160" s="5">
        <v>200</v>
      </c>
      <c r="AG160" s="5">
        <v>-1.5</v>
      </c>
      <c r="AH160" s="5">
        <v>1.5</v>
      </c>
      <c r="AI160" s="45">
        <v>0</v>
      </c>
      <c r="AJ160" s="45">
        <v>0</v>
      </c>
      <c r="AK160" s="45">
        <v>0</v>
      </c>
      <c r="AL160" s="23">
        <v>0</v>
      </c>
      <c r="AM160" s="23">
        <v>0</v>
      </c>
      <c r="AN160" s="23">
        <v>0</v>
      </c>
      <c r="AO160" s="23">
        <v>0</v>
      </c>
      <c r="AP160" s="23">
        <v>0</v>
      </c>
      <c r="AQ160" s="23">
        <v>0</v>
      </c>
      <c r="AR160" s="25">
        <v>0</v>
      </c>
      <c r="AS160" s="54">
        <v>0</v>
      </c>
      <c r="AT160" s="52">
        <v>0</v>
      </c>
      <c r="AU160" s="52">
        <v>0</v>
      </c>
      <c r="AV160" s="52">
        <v>0</v>
      </c>
      <c r="AW160" s="38">
        <v>0</v>
      </c>
      <c r="AX160" s="38">
        <v>0</v>
      </c>
      <c r="AY160" s="38">
        <v>0</v>
      </c>
      <c r="AZ160" s="38">
        <v>0</v>
      </c>
      <c r="BA160" s="38">
        <v>0</v>
      </c>
      <c r="BB160" s="38">
        <v>0</v>
      </c>
      <c r="BC160" s="38">
        <v>136</v>
      </c>
      <c r="BD160" s="38">
        <v>0</v>
      </c>
      <c r="BE160" s="38">
        <v>0</v>
      </c>
      <c r="BF160" s="38">
        <v>0</v>
      </c>
      <c r="BG160" s="40">
        <v>4</v>
      </c>
      <c r="BH160" s="40" t="s">
        <v>1543</v>
      </c>
      <c r="BI160" s="40">
        <v>0</v>
      </c>
    </row>
    <row r="161" spans="1:61" x14ac:dyDescent="0.25">
      <c r="A161" s="6">
        <v>160</v>
      </c>
      <c r="B161" s="6" t="s">
        <v>1544</v>
      </c>
      <c r="C161" s="6" t="s">
        <v>1544</v>
      </c>
      <c r="D161" s="6" t="s">
        <v>5</v>
      </c>
      <c r="E161" s="6" t="s">
        <v>4</v>
      </c>
      <c r="F161" s="17">
        <v>44977.076851851853</v>
      </c>
      <c r="G161" s="21">
        <v>-5</v>
      </c>
      <c r="H161" s="4">
        <f t="shared" si="10"/>
        <v>44976.868518518517</v>
      </c>
      <c r="I161" s="3">
        <v>25</v>
      </c>
      <c r="J161" s="3">
        <v>25000</v>
      </c>
      <c r="K161" s="3">
        <f t="shared" si="11"/>
        <v>1.8672323135755257E-3</v>
      </c>
      <c r="L161" s="3">
        <v>286.34449999999998</v>
      </c>
      <c r="M161" s="3">
        <f>90-26.2985</f>
        <v>63.701499999999996</v>
      </c>
      <c r="N161" s="3" t="s">
        <v>1334</v>
      </c>
      <c r="O161" s="3">
        <v>43.427529</v>
      </c>
      <c r="P161" s="3">
        <v>-85.524208000000002</v>
      </c>
      <c r="Q161" s="3">
        <v>37595</v>
      </c>
      <c r="R161" s="3">
        <f>Q161</f>
        <v>37595</v>
      </c>
      <c r="S161" s="3">
        <v>5000</v>
      </c>
      <c r="T161" s="3">
        <f t="shared" si="12"/>
        <v>63.701499999999996</v>
      </c>
      <c r="U161" s="3">
        <v>37595</v>
      </c>
      <c r="V161" s="3" t="s">
        <v>144</v>
      </c>
      <c r="W161" s="3" t="s">
        <v>382</v>
      </c>
      <c r="X161" s="3">
        <v>0</v>
      </c>
      <c r="Y161" s="3">
        <v>60000</v>
      </c>
      <c r="Z161" s="3">
        <v>60000</v>
      </c>
      <c r="AA161" s="5">
        <v>1000</v>
      </c>
      <c r="AB161" s="5">
        <v>0.24049999999999999</v>
      </c>
      <c r="AC161" s="5">
        <v>0.87580000000000002</v>
      </c>
      <c r="AD161" s="5">
        <v>1E-3</v>
      </c>
      <c r="AE161" s="5">
        <v>1E-3</v>
      </c>
      <c r="AF161" s="5">
        <v>500</v>
      </c>
      <c r="AG161" s="5">
        <v>-1.5</v>
      </c>
      <c r="AH161" s="5">
        <v>1.5</v>
      </c>
      <c r="AI161" s="45">
        <v>0</v>
      </c>
      <c r="AJ161" s="45">
        <v>0</v>
      </c>
      <c r="AK161" s="45">
        <v>0</v>
      </c>
      <c r="AL161" s="23">
        <v>0</v>
      </c>
      <c r="AM161" s="23">
        <v>0</v>
      </c>
      <c r="AN161" s="23">
        <v>0</v>
      </c>
      <c r="AO161" s="23">
        <v>0</v>
      </c>
      <c r="AP161" s="23">
        <v>0</v>
      </c>
      <c r="AQ161" s="23">
        <v>0</v>
      </c>
      <c r="AR161" s="25">
        <v>0</v>
      </c>
      <c r="AS161" s="54">
        <v>0</v>
      </c>
      <c r="AT161" s="52">
        <v>0</v>
      </c>
      <c r="AU161" s="52">
        <v>0</v>
      </c>
      <c r="AV161" s="52">
        <v>0</v>
      </c>
      <c r="AW161" s="38">
        <v>0</v>
      </c>
      <c r="AX161" s="38">
        <v>0</v>
      </c>
      <c r="AY161" s="38">
        <v>0</v>
      </c>
      <c r="AZ161" s="38">
        <v>0</v>
      </c>
      <c r="BA161" s="38">
        <v>0</v>
      </c>
      <c r="BB161" s="38">
        <v>0</v>
      </c>
      <c r="BC161" s="38">
        <v>138</v>
      </c>
      <c r="BD161" s="38">
        <v>0</v>
      </c>
      <c r="BE161" s="38">
        <v>0</v>
      </c>
      <c r="BF161" s="38">
        <v>0</v>
      </c>
      <c r="BG161" s="40">
        <v>0</v>
      </c>
      <c r="BH161" s="40" t="s">
        <v>1416</v>
      </c>
      <c r="BI161" s="40">
        <v>0</v>
      </c>
    </row>
    <row r="162" spans="1:61" x14ac:dyDescent="0.25">
      <c r="A162" s="6">
        <v>161</v>
      </c>
      <c r="B162" s="6" t="s">
        <v>1560</v>
      </c>
      <c r="D162" s="6" t="s">
        <v>1393</v>
      </c>
      <c r="E162" s="6" t="s">
        <v>100</v>
      </c>
      <c r="F162" s="17">
        <v>43617.872916666667</v>
      </c>
      <c r="G162" s="21">
        <v>10.5</v>
      </c>
      <c r="H162" s="4">
        <f t="shared" si="10"/>
        <v>43618.310416666667</v>
      </c>
      <c r="O162" s="3">
        <v>-30.623611</v>
      </c>
      <c r="P162" s="3">
        <v>129.63138900000001</v>
      </c>
      <c r="U162" s="3">
        <v>28800</v>
      </c>
      <c r="V162" s="3" t="s">
        <v>79</v>
      </c>
      <c r="W162" s="3" t="s">
        <v>239</v>
      </c>
      <c r="AG162" s="5">
        <v>-1.5</v>
      </c>
      <c r="AH162" s="5">
        <v>1.5</v>
      </c>
      <c r="AI162" s="45">
        <v>0</v>
      </c>
      <c r="AJ162" s="45">
        <v>0</v>
      </c>
      <c r="AK162" s="45">
        <v>0</v>
      </c>
      <c r="AL162" s="23">
        <v>0</v>
      </c>
      <c r="AM162" s="23">
        <v>0</v>
      </c>
      <c r="AN162" s="23">
        <v>0</v>
      </c>
      <c r="AO162" s="23">
        <v>0</v>
      </c>
      <c r="AP162" s="23">
        <v>0</v>
      </c>
      <c r="AQ162" s="23">
        <v>0</v>
      </c>
      <c r="AR162" s="25">
        <v>0</v>
      </c>
      <c r="AS162" s="54">
        <v>0</v>
      </c>
      <c r="AT162" s="52">
        <v>0</v>
      </c>
      <c r="AU162" s="52">
        <v>0</v>
      </c>
      <c r="AV162" s="52">
        <v>0</v>
      </c>
      <c r="AW162" s="38">
        <v>0</v>
      </c>
      <c r="AX162" s="38">
        <v>139</v>
      </c>
      <c r="AY162" s="38">
        <v>0</v>
      </c>
      <c r="AZ162" s="38">
        <v>0</v>
      </c>
      <c r="BA162" s="38">
        <v>0</v>
      </c>
      <c r="BB162" s="38">
        <v>0</v>
      </c>
      <c r="BC162" s="38">
        <v>138</v>
      </c>
      <c r="BD162" s="38">
        <v>0</v>
      </c>
      <c r="BE162" s="38">
        <v>0</v>
      </c>
      <c r="BF162" s="38">
        <v>0</v>
      </c>
      <c r="BG162" s="40">
        <v>0</v>
      </c>
      <c r="BH162" s="40" t="s">
        <v>1416</v>
      </c>
      <c r="BI162" s="40">
        <v>0</v>
      </c>
    </row>
    <row r="163" spans="1:61" x14ac:dyDescent="0.25">
      <c r="A163" s="6">
        <v>162</v>
      </c>
      <c r="B163" s="6" t="s">
        <v>1561</v>
      </c>
      <c r="C163" s="6" t="s">
        <v>1561</v>
      </c>
      <c r="D163" s="6" t="s">
        <v>1580</v>
      </c>
      <c r="E163" s="6" t="s">
        <v>731</v>
      </c>
      <c r="F163" s="17">
        <v>43831.768680555557</v>
      </c>
      <c r="G163" s="21">
        <v>1</v>
      </c>
      <c r="H163" s="4">
        <f t="shared" si="10"/>
        <v>43831.810347222221</v>
      </c>
      <c r="I163" s="3">
        <v>3.5</v>
      </c>
      <c r="O163" s="3">
        <v>44.828888999999997</v>
      </c>
      <c r="P163" s="3">
        <v>10.972222</v>
      </c>
      <c r="V163" s="3" t="s">
        <v>115</v>
      </c>
      <c r="W163" s="3" t="s">
        <v>1576</v>
      </c>
      <c r="AG163" s="5">
        <v>-1.5</v>
      </c>
      <c r="AH163" s="5">
        <v>1.5</v>
      </c>
      <c r="AI163" s="45">
        <v>0</v>
      </c>
      <c r="AJ163" s="45">
        <v>0</v>
      </c>
      <c r="AK163" s="45">
        <v>0</v>
      </c>
      <c r="AL163" s="23">
        <v>0</v>
      </c>
      <c r="AM163" s="23">
        <v>0</v>
      </c>
      <c r="AN163" s="23">
        <v>0</v>
      </c>
      <c r="AO163" s="23">
        <v>0</v>
      </c>
      <c r="AP163" s="23">
        <v>0</v>
      </c>
      <c r="AQ163" s="23">
        <v>0</v>
      </c>
      <c r="AR163" s="25">
        <v>0</v>
      </c>
      <c r="AS163" s="54">
        <v>0</v>
      </c>
      <c r="AT163" s="52">
        <v>0</v>
      </c>
      <c r="AU163" s="52">
        <v>0</v>
      </c>
      <c r="AV163" s="52">
        <v>0</v>
      </c>
      <c r="AW163" s="38">
        <v>0</v>
      </c>
      <c r="AX163" s="38">
        <v>139</v>
      </c>
      <c r="AY163" s="38">
        <v>0</v>
      </c>
      <c r="AZ163" s="38">
        <v>0</v>
      </c>
      <c r="BA163" s="38">
        <v>0</v>
      </c>
      <c r="BB163" s="38">
        <v>0</v>
      </c>
      <c r="BC163" s="38">
        <v>138</v>
      </c>
      <c r="BD163" s="38">
        <v>0</v>
      </c>
      <c r="BE163" s="38">
        <v>0</v>
      </c>
      <c r="BF163" s="38">
        <v>0</v>
      </c>
      <c r="BG163" s="40">
        <v>0</v>
      </c>
      <c r="BH163" s="40" t="s">
        <v>1416</v>
      </c>
      <c r="BI163" s="40">
        <v>0</v>
      </c>
    </row>
    <row r="164" spans="1:61" x14ac:dyDescent="0.25">
      <c r="A164" s="6">
        <v>163</v>
      </c>
      <c r="B164" s="6" t="s">
        <v>1562</v>
      </c>
      <c r="C164" s="6" t="s">
        <v>1581</v>
      </c>
      <c r="D164" s="6" t="s">
        <v>109</v>
      </c>
      <c r="E164" s="6" t="s">
        <v>4</v>
      </c>
      <c r="F164" s="17">
        <v>42301.241481481484</v>
      </c>
      <c r="G164" s="21">
        <v>-7</v>
      </c>
      <c r="H164" s="4">
        <f t="shared" si="10"/>
        <v>42300.94981481482</v>
      </c>
      <c r="I164" s="3">
        <v>60</v>
      </c>
      <c r="O164" s="3">
        <v>35.570278000000002</v>
      </c>
      <c r="P164" s="3">
        <v>-120.4725</v>
      </c>
      <c r="V164" s="3" t="s">
        <v>115</v>
      </c>
      <c r="W164" s="3" t="s">
        <v>245</v>
      </c>
      <c r="AG164" s="5">
        <v>-1.5</v>
      </c>
      <c r="AH164" s="5">
        <v>1.5</v>
      </c>
      <c r="AI164" s="45">
        <v>0</v>
      </c>
      <c r="AJ164" s="45">
        <v>0</v>
      </c>
      <c r="AK164" s="45">
        <v>0</v>
      </c>
      <c r="AL164" s="23">
        <v>0</v>
      </c>
      <c r="AM164" s="23">
        <v>0</v>
      </c>
      <c r="AN164" s="23">
        <v>0</v>
      </c>
      <c r="AO164" s="23">
        <v>0</v>
      </c>
      <c r="AP164" s="23">
        <v>0</v>
      </c>
      <c r="AQ164" s="23">
        <v>0</v>
      </c>
      <c r="AR164" s="25">
        <v>0</v>
      </c>
      <c r="AS164" s="54">
        <v>0</v>
      </c>
      <c r="AT164" s="52">
        <v>0</v>
      </c>
      <c r="AU164" s="52">
        <v>0</v>
      </c>
      <c r="AV164" s="52">
        <v>0</v>
      </c>
      <c r="AW164" s="38">
        <v>0</v>
      </c>
      <c r="AX164" s="38">
        <v>139</v>
      </c>
      <c r="AY164" s="38">
        <v>0</v>
      </c>
      <c r="AZ164" s="38">
        <v>0</v>
      </c>
      <c r="BA164" s="38">
        <v>0</v>
      </c>
      <c r="BB164" s="38">
        <v>0</v>
      </c>
      <c r="BC164" s="38">
        <v>138</v>
      </c>
      <c r="BD164" s="38">
        <v>0</v>
      </c>
      <c r="BE164" s="38">
        <v>0</v>
      </c>
      <c r="BF164" s="38">
        <v>0</v>
      </c>
      <c r="BG164" s="40">
        <v>0</v>
      </c>
      <c r="BH164" s="40" t="s">
        <v>1416</v>
      </c>
      <c r="BI164" s="40">
        <v>0</v>
      </c>
    </row>
    <row r="165" spans="1:61" x14ac:dyDescent="0.25">
      <c r="A165" s="6">
        <v>164</v>
      </c>
      <c r="B165" s="6" t="s">
        <v>1563</v>
      </c>
      <c r="C165" s="6" t="s">
        <v>1582</v>
      </c>
      <c r="D165" s="6" t="s">
        <v>1583</v>
      </c>
      <c r="E165" s="6" t="s">
        <v>100</v>
      </c>
      <c r="F165" s="17">
        <v>42674.502627314818</v>
      </c>
      <c r="G165" s="21">
        <v>8</v>
      </c>
      <c r="H165" s="4">
        <f t="shared" si="10"/>
        <v>42674.835960648154</v>
      </c>
      <c r="I165" s="3">
        <v>40</v>
      </c>
      <c r="O165" s="3">
        <v>-29.20608</v>
      </c>
      <c r="P165" s="3">
        <v>116.21547</v>
      </c>
      <c r="V165" s="3" t="s">
        <v>115</v>
      </c>
      <c r="W165" s="3" t="s">
        <v>1577</v>
      </c>
      <c r="AG165" s="5">
        <v>-1.5</v>
      </c>
      <c r="AH165" s="5">
        <v>1.5</v>
      </c>
      <c r="AI165" s="45">
        <v>0</v>
      </c>
      <c r="AJ165" s="45">
        <v>0</v>
      </c>
      <c r="AK165" s="45">
        <v>0</v>
      </c>
      <c r="AL165" s="23">
        <v>0</v>
      </c>
      <c r="AM165" s="23">
        <v>0</v>
      </c>
      <c r="AN165" s="23">
        <v>0</v>
      </c>
      <c r="AO165" s="23">
        <v>0</v>
      </c>
      <c r="AP165" s="23">
        <v>0</v>
      </c>
      <c r="AQ165" s="23">
        <v>0</v>
      </c>
      <c r="AR165" s="25">
        <v>0</v>
      </c>
      <c r="AS165" s="54">
        <v>0</v>
      </c>
      <c r="AT165" s="52">
        <v>0</v>
      </c>
      <c r="AU165" s="52">
        <v>0</v>
      </c>
      <c r="AV165" s="52">
        <v>0</v>
      </c>
      <c r="AW165" s="38">
        <v>0</v>
      </c>
      <c r="AX165" s="38">
        <v>139</v>
      </c>
      <c r="AY165" s="38">
        <v>0</v>
      </c>
      <c r="AZ165" s="38">
        <v>0</v>
      </c>
      <c r="BA165" s="38">
        <v>0</v>
      </c>
      <c r="BB165" s="38">
        <v>0</v>
      </c>
      <c r="BC165" s="38">
        <v>138</v>
      </c>
      <c r="BD165" s="38">
        <v>0</v>
      </c>
      <c r="BE165" s="38">
        <v>0</v>
      </c>
      <c r="BF165" s="38">
        <v>0</v>
      </c>
      <c r="BG165" s="40">
        <v>0</v>
      </c>
      <c r="BH165" s="40" t="s">
        <v>1416</v>
      </c>
      <c r="BI165" s="40">
        <v>0</v>
      </c>
    </row>
    <row r="166" spans="1:61" x14ac:dyDescent="0.25">
      <c r="A166" s="6">
        <v>165</v>
      </c>
      <c r="B166" s="6" t="s">
        <v>1564</v>
      </c>
      <c r="C166" s="6" t="s">
        <v>1564</v>
      </c>
      <c r="D166" s="6" t="s">
        <v>1584</v>
      </c>
      <c r="E166" s="6" t="s">
        <v>450</v>
      </c>
      <c r="F166" s="17">
        <v>44154.157581018517</v>
      </c>
      <c r="G166" s="21">
        <v>1</v>
      </c>
      <c r="H166" s="4">
        <f t="shared" si="10"/>
        <v>44154.199247685181</v>
      </c>
      <c r="O166" s="3">
        <v>47.516666999999998</v>
      </c>
      <c r="P166" s="3">
        <v>15.433332999999999</v>
      </c>
      <c r="V166" s="3" t="s">
        <v>115</v>
      </c>
      <c r="W166" s="3" t="s">
        <v>245</v>
      </c>
      <c r="AG166" s="5">
        <v>-1.5</v>
      </c>
      <c r="AH166" s="5">
        <v>1.5</v>
      </c>
      <c r="AI166" s="45">
        <v>0</v>
      </c>
      <c r="AJ166" s="45">
        <v>0</v>
      </c>
      <c r="AK166" s="45">
        <v>0</v>
      </c>
      <c r="AL166" s="23">
        <v>0</v>
      </c>
      <c r="AM166" s="23">
        <v>0</v>
      </c>
      <c r="AN166" s="23">
        <v>0</v>
      </c>
      <c r="AO166" s="23">
        <v>0</v>
      </c>
      <c r="AP166" s="23">
        <v>0</v>
      </c>
      <c r="AQ166" s="23">
        <v>0</v>
      </c>
      <c r="AR166" s="25">
        <v>0</v>
      </c>
      <c r="AS166" s="54">
        <v>0</v>
      </c>
      <c r="AT166" s="52">
        <v>0</v>
      </c>
      <c r="AU166" s="52">
        <v>0</v>
      </c>
      <c r="AV166" s="52">
        <v>0</v>
      </c>
      <c r="AW166" s="38">
        <v>0</v>
      </c>
      <c r="AX166" s="38">
        <v>139</v>
      </c>
      <c r="AY166" s="38">
        <v>0</v>
      </c>
      <c r="AZ166" s="38">
        <v>0</v>
      </c>
      <c r="BA166" s="38">
        <v>0</v>
      </c>
      <c r="BB166" s="38">
        <v>0</v>
      </c>
      <c r="BC166" s="38">
        <v>138</v>
      </c>
      <c r="BD166" s="38">
        <v>0</v>
      </c>
      <c r="BE166" s="38">
        <v>0</v>
      </c>
      <c r="BF166" s="38">
        <v>0</v>
      </c>
      <c r="BG166" s="40">
        <v>0</v>
      </c>
      <c r="BH166" s="40" t="s">
        <v>1416</v>
      </c>
      <c r="BI166" s="40">
        <v>0</v>
      </c>
    </row>
    <row r="167" spans="1:61" x14ac:dyDescent="0.25">
      <c r="A167" s="6">
        <v>166</v>
      </c>
      <c r="B167" s="6" t="s">
        <v>1565</v>
      </c>
      <c r="C167" s="6" t="s">
        <v>1585</v>
      </c>
      <c r="D167" s="6" t="s">
        <v>1583</v>
      </c>
      <c r="E167" s="6" t="s">
        <v>100</v>
      </c>
      <c r="F167" s="17">
        <v>44001.836886574078</v>
      </c>
      <c r="G167" s="21">
        <v>8</v>
      </c>
      <c r="H167" s="4">
        <f t="shared" si="10"/>
        <v>44002.170219907413</v>
      </c>
      <c r="I167" s="3">
        <v>45</v>
      </c>
      <c r="O167" s="3">
        <v>-31.96557</v>
      </c>
      <c r="P167" s="3">
        <v>126.98438</v>
      </c>
      <c r="V167" s="3" t="s">
        <v>115</v>
      </c>
      <c r="W167" s="3" t="s">
        <v>244</v>
      </c>
      <c r="AG167" s="5">
        <v>-1.5</v>
      </c>
      <c r="AH167" s="5">
        <v>1.5</v>
      </c>
      <c r="AI167" s="45">
        <v>0</v>
      </c>
      <c r="AJ167" s="45">
        <v>0</v>
      </c>
      <c r="AK167" s="45">
        <v>0</v>
      </c>
      <c r="AL167" s="23">
        <v>0</v>
      </c>
      <c r="AM167" s="23">
        <v>0</v>
      </c>
      <c r="AN167" s="23">
        <v>0</v>
      </c>
      <c r="AO167" s="23">
        <v>0</v>
      </c>
      <c r="AP167" s="23">
        <v>0</v>
      </c>
      <c r="AQ167" s="23">
        <v>0</v>
      </c>
      <c r="AR167" s="25">
        <v>0</v>
      </c>
      <c r="AS167" s="54">
        <v>0</v>
      </c>
      <c r="AT167" s="52">
        <v>0</v>
      </c>
      <c r="AU167" s="52">
        <v>0</v>
      </c>
      <c r="AV167" s="52">
        <v>0</v>
      </c>
      <c r="AW167" s="38">
        <v>0</v>
      </c>
      <c r="AX167" s="38">
        <v>139</v>
      </c>
      <c r="AY167" s="38">
        <v>0</v>
      </c>
      <c r="AZ167" s="38">
        <v>0</v>
      </c>
      <c r="BA167" s="38">
        <v>0</v>
      </c>
      <c r="BB167" s="38">
        <v>0</v>
      </c>
      <c r="BC167" s="38">
        <v>138</v>
      </c>
      <c r="BD167" s="38">
        <v>0</v>
      </c>
      <c r="BE167" s="38">
        <v>0</v>
      </c>
      <c r="BF167" s="38">
        <v>0</v>
      </c>
      <c r="BG167" s="40">
        <v>0</v>
      </c>
      <c r="BH167" s="40" t="s">
        <v>1416</v>
      </c>
      <c r="BI167" s="40">
        <v>0</v>
      </c>
    </row>
    <row r="168" spans="1:61" x14ac:dyDescent="0.25">
      <c r="A168" s="6">
        <v>167</v>
      </c>
      <c r="B168" s="6" t="s">
        <v>1566</v>
      </c>
      <c r="F168" s="17">
        <v>39830.79791666667</v>
      </c>
      <c r="G168" s="21">
        <v>1</v>
      </c>
      <c r="H168" s="4">
        <f t="shared" si="10"/>
        <v>39830.839583333334</v>
      </c>
      <c r="I168" s="3">
        <v>1500</v>
      </c>
      <c r="O168" s="3">
        <v>54.761944</v>
      </c>
      <c r="P168" s="3">
        <v>11.467499999999999</v>
      </c>
      <c r="V168" s="3" t="s">
        <v>111</v>
      </c>
      <c r="W168" s="3" t="s">
        <v>216</v>
      </c>
      <c r="AG168" s="5">
        <v>-1.5</v>
      </c>
      <c r="AH168" s="5">
        <v>1.5</v>
      </c>
      <c r="AI168" s="45">
        <v>0</v>
      </c>
      <c r="AJ168" s="45">
        <v>0</v>
      </c>
      <c r="AK168" s="45">
        <v>0</v>
      </c>
      <c r="AL168" s="23">
        <v>0</v>
      </c>
      <c r="AM168" s="23">
        <v>0</v>
      </c>
      <c r="AN168" s="23">
        <v>0</v>
      </c>
      <c r="AO168" s="23">
        <v>0</v>
      </c>
      <c r="AP168" s="23">
        <v>0</v>
      </c>
      <c r="AQ168" s="23">
        <v>0</v>
      </c>
      <c r="AR168" s="25">
        <v>0</v>
      </c>
      <c r="AS168" s="54">
        <v>0</v>
      </c>
      <c r="AT168" s="52">
        <v>0</v>
      </c>
      <c r="AU168" s="52">
        <v>0</v>
      </c>
      <c r="AV168" s="52">
        <v>0</v>
      </c>
      <c r="AW168" s="38">
        <v>0</v>
      </c>
      <c r="AX168" s="38">
        <v>139</v>
      </c>
      <c r="AY168" s="38">
        <v>0</v>
      </c>
      <c r="AZ168" s="38">
        <v>0</v>
      </c>
      <c r="BA168" s="38">
        <v>0</v>
      </c>
      <c r="BB168" s="38">
        <v>0</v>
      </c>
      <c r="BC168" s="38">
        <v>138</v>
      </c>
      <c r="BD168" s="38">
        <v>0</v>
      </c>
      <c r="BE168" s="38">
        <v>0</v>
      </c>
      <c r="BF168" s="38">
        <v>0</v>
      </c>
      <c r="BG168" s="40">
        <v>0</v>
      </c>
      <c r="BH168" s="40" t="s">
        <v>1416</v>
      </c>
      <c r="BI168" s="40">
        <v>0</v>
      </c>
    </row>
    <row r="169" spans="1:61" x14ac:dyDescent="0.25">
      <c r="A169" s="6">
        <v>168</v>
      </c>
      <c r="B169" s="6" t="s">
        <v>1567</v>
      </c>
      <c r="D169" s="6" t="s">
        <v>1586</v>
      </c>
      <c r="E169" s="6" t="s">
        <v>495</v>
      </c>
      <c r="F169" s="17">
        <v>43253.697233796294</v>
      </c>
      <c r="G169" s="21">
        <v>2</v>
      </c>
      <c r="H169" s="4">
        <f t="shared" si="10"/>
        <v>43253.78056712963</v>
      </c>
      <c r="I169" s="3">
        <v>5500</v>
      </c>
      <c r="O169" s="3">
        <v>-21.248480000000001</v>
      </c>
      <c r="P169" s="3">
        <v>23.238659999999999</v>
      </c>
      <c r="V169" s="3" t="s">
        <v>81</v>
      </c>
      <c r="W169" s="3" t="s">
        <v>392</v>
      </c>
      <c r="AG169" s="5">
        <v>-1.5</v>
      </c>
      <c r="AH169" s="5">
        <v>1.5</v>
      </c>
      <c r="AI169" s="45">
        <v>0</v>
      </c>
      <c r="AJ169" s="45">
        <v>0</v>
      </c>
      <c r="AK169" s="45">
        <v>0</v>
      </c>
      <c r="AL169" s="23">
        <v>0</v>
      </c>
      <c r="AM169" s="23">
        <v>0</v>
      </c>
      <c r="AN169" s="23">
        <v>0</v>
      </c>
      <c r="AO169" s="23">
        <v>0</v>
      </c>
      <c r="AP169" s="23">
        <v>0</v>
      </c>
      <c r="AQ169" s="23">
        <v>0</v>
      </c>
      <c r="AR169" s="25">
        <v>0</v>
      </c>
      <c r="AS169" s="54">
        <v>0</v>
      </c>
      <c r="AT169" s="52">
        <v>0</v>
      </c>
      <c r="AU169" s="52">
        <v>0</v>
      </c>
      <c r="AV169" s="52">
        <v>0</v>
      </c>
      <c r="AW169" s="38">
        <v>0</v>
      </c>
      <c r="AX169" s="38">
        <v>139</v>
      </c>
      <c r="AY169" s="38">
        <v>0</v>
      </c>
      <c r="AZ169" s="38">
        <v>0</v>
      </c>
      <c r="BA169" s="38">
        <v>0</v>
      </c>
      <c r="BB169" s="38">
        <v>0</v>
      </c>
      <c r="BC169" s="38">
        <v>138</v>
      </c>
      <c r="BD169" s="38">
        <v>0</v>
      </c>
      <c r="BE169" s="38">
        <v>0</v>
      </c>
      <c r="BF169" s="38">
        <v>0</v>
      </c>
      <c r="BG169" s="40">
        <v>0</v>
      </c>
      <c r="BH169" s="40" t="s">
        <v>1416</v>
      </c>
      <c r="BI169" s="40">
        <v>0</v>
      </c>
    </row>
    <row r="170" spans="1:61" x14ac:dyDescent="0.25">
      <c r="A170" s="6">
        <v>169</v>
      </c>
      <c r="B170" s="6" t="s">
        <v>1568</v>
      </c>
      <c r="C170" s="6" t="s">
        <v>1587</v>
      </c>
      <c r="D170" s="6" t="s">
        <v>1393</v>
      </c>
      <c r="E170" s="6" t="s">
        <v>100</v>
      </c>
      <c r="F170" s="17">
        <v>42335.447048611109</v>
      </c>
      <c r="G170" s="21">
        <v>9.5</v>
      </c>
      <c r="H170" s="4">
        <f t="shared" si="10"/>
        <v>42335.842881944445</v>
      </c>
      <c r="O170" s="3">
        <v>-29.26089</v>
      </c>
      <c r="P170" s="3">
        <v>137.53765000000001</v>
      </c>
      <c r="V170" s="3" t="s">
        <v>79</v>
      </c>
      <c r="W170" s="3" t="s">
        <v>239</v>
      </c>
      <c r="AG170" s="5">
        <v>-1.5</v>
      </c>
      <c r="AH170" s="5">
        <v>1.5</v>
      </c>
      <c r="AI170" s="45">
        <v>0</v>
      </c>
      <c r="AJ170" s="45">
        <v>0</v>
      </c>
      <c r="AK170" s="45">
        <v>0</v>
      </c>
      <c r="AL170" s="23">
        <v>0</v>
      </c>
      <c r="AM170" s="23">
        <v>0</v>
      </c>
      <c r="AN170" s="23">
        <v>0</v>
      </c>
      <c r="AO170" s="23">
        <v>0</v>
      </c>
      <c r="AP170" s="23">
        <v>0</v>
      </c>
      <c r="AQ170" s="23">
        <v>0</v>
      </c>
      <c r="AR170" s="25">
        <v>0</v>
      </c>
      <c r="AS170" s="54">
        <v>0</v>
      </c>
      <c r="AT170" s="52">
        <v>0</v>
      </c>
      <c r="AU170" s="52">
        <v>0</v>
      </c>
      <c r="AV170" s="52">
        <v>0</v>
      </c>
      <c r="AW170" s="38">
        <v>0</v>
      </c>
      <c r="AX170" s="38">
        <v>139</v>
      </c>
      <c r="AY170" s="38">
        <v>0</v>
      </c>
      <c r="AZ170" s="38">
        <v>0</v>
      </c>
      <c r="BA170" s="38">
        <v>0</v>
      </c>
      <c r="BB170" s="38">
        <v>0</v>
      </c>
      <c r="BC170" s="38">
        <v>138</v>
      </c>
      <c r="BD170" s="38">
        <v>0</v>
      </c>
      <c r="BE170" s="38">
        <v>0</v>
      </c>
      <c r="BF170" s="38">
        <v>0</v>
      </c>
      <c r="BG170" s="40">
        <v>0</v>
      </c>
      <c r="BH170" s="40" t="s">
        <v>1416</v>
      </c>
      <c r="BI170" s="40">
        <v>0</v>
      </c>
    </row>
    <row r="171" spans="1:61" x14ac:dyDescent="0.25">
      <c r="A171" s="6">
        <v>170</v>
      </c>
      <c r="B171" s="6" t="s">
        <v>1569</v>
      </c>
      <c r="C171" s="6" t="s">
        <v>1588</v>
      </c>
      <c r="D171" s="6" t="s">
        <v>1589</v>
      </c>
      <c r="E171" s="6" t="s">
        <v>4</v>
      </c>
      <c r="F171" s="17">
        <v>42393.643750000003</v>
      </c>
      <c r="G171" s="21">
        <v>-5</v>
      </c>
      <c r="H171" s="4">
        <f t="shared" si="10"/>
        <v>42393.435416666667</v>
      </c>
      <c r="I171" s="3">
        <v>1800</v>
      </c>
      <c r="O171" s="3">
        <v>30.452667000000002</v>
      </c>
      <c r="P171" s="3">
        <v>-82.454166999999998</v>
      </c>
      <c r="V171" s="3" t="s">
        <v>115</v>
      </c>
      <c r="W171" s="3" t="s">
        <v>245</v>
      </c>
      <c r="AG171" s="5">
        <v>-1.5</v>
      </c>
      <c r="AH171" s="5">
        <v>1.5</v>
      </c>
      <c r="AI171" s="45">
        <v>0</v>
      </c>
      <c r="AJ171" s="45">
        <v>0</v>
      </c>
      <c r="AK171" s="45">
        <v>0</v>
      </c>
      <c r="AL171" s="23">
        <v>0</v>
      </c>
      <c r="AM171" s="23">
        <v>0</v>
      </c>
      <c r="AN171" s="23">
        <v>0</v>
      </c>
      <c r="AO171" s="23">
        <v>0</v>
      </c>
      <c r="AP171" s="23">
        <v>0</v>
      </c>
      <c r="AQ171" s="23">
        <v>0</v>
      </c>
      <c r="AR171" s="25">
        <v>0</v>
      </c>
      <c r="AS171" s="54">
        <v>0</v>
      </c>
      <c r="AT171" s="52">
        <v>0</v>
      </c>
      <c r="AU171" s="52">
        <v>0</v>
      </c>
      <c r="AV171" s="52">
        <v>0</v>
      </c>
      <c r="AW171" s="38">
        <v>0</v>
      </c>
      <c r="AX171" s="38">
        <v>139</v>
      </c>
      <c r="AY171" s="38">
        <v>0</v>
      </c>
      <c r="AZ171" s="38">
        <v>0</v>
      </c>
      <c r="BA171" s="38">
        <v>0</v>
      </c>
      <c r="BB171" s="38">
        <v>0</v>
      </c>
      <c r="BC171" s="38">
        <v>138</v>
      </c>
      <c r="BD171" s="38">
        <v>0</v>
      </c>
      <c r="BE171" s="38">
        <v>0</v>
      </c>
      <c r="BF171" s="38">
        <v>0</v>
      </c>
      <c r="BG171" s="40">
        <v>0</v>
      </c>
      <c r="BH171" s="40" t="s">
        <v>1416</v>
      </c>
      <c r="BI171" s="40">
        <v>0</v>
      </c>
    </row>
    <row r="172" spans="1:61" x14ac:dyDescent="0.25">
      <c r="A172" s="6">
        <v>171</v>
      </c>
      <c r="B172" s="6" t="s">
        <v>1570</v>
      </c>
      <c r="C172" s="6" t="s">
        <v>1590</v>
      </c>
      <c r="D172" s="6" t="s">
        <v>1591</v>
      </c>
      <c r="E172" s="6" t="s">
        <v>113</v>
      </c>
      <c r="F172" s="17">
        <v>43272.05300925926</v>
      </c>
      <c r="G172" s="21">
        <v>3</v>
      </c>
      <c r="H172" s="4">
        <f t="shared" si="10"/>
        <v>43272.17800925926</v>
      </c>
      <c r="I172" s="3">
        <v>94000</v>
      </c>
      <c r="O172" s="3">
        <v>52.801400000000001</v>
      </c>
      <c r="P172" s="3">
        <v>38.171132999999998</v>
      </c>
      <c r="V172" s="3" t="s">
        <v>115</v>
      </c>
      <c r="W172" s="3" t="s">
        <v>245</v>
      </c>
      <c r="AG172" s="5">
        <v>-1.5</v>
      </c>
      <c r="AH172" s="5">
        <v>1.5</v>
      </c>
      <c r="AI172" s="45">
        <v>0</v>
      </c>
      <c r="AJ172" s="45">
        <v>0</v>
      </c>
      <c r="AK172" s="45">
        <v>0</v>
      </c>
      <c r="AL172" s="23">
        <v>0</v>
      </c>
      <c r="AM172" s="23">
        <v>0</v>
      </c>
      <c r="AN172" s="23">
        <v>0</v>
      </c>
      <c r="AO172" s="23">
        <v>0</v>
      </c>
      <c r="AP172" s="23">
        <v>0</v>
      </c>
      <c r="AQ172" s="23">
        <v>0</v>
      </c>
      <c r="AR172" s="25">
        <v>0</v>
      </c>
      <c r="AS172" s="54">
        <v>0</v>
      </c>
      <c r="AT172" s="52">
        <v>0</v>
      </c>
      <c r="AU172" s="52">
        <v>0</v>
      </c>
      <c r="AV172" s="52">
        <v>0</v>
      </c>
      <c r="AW172" s="38">
        <v>0</v>
      </c>
      <c r="AX172" s="38">
        <v>139</v>
      </c>
      <c r="AY172" s="38">
        <v>0</v>
      </c>
      <c r="AZ172" s="38">
        <v>0</v>
      </c>
      <c r="BA172" s="38">
        <v>0</v>
      </c>
      <c r="BB172" s="38">
        <v>0</v>
      </c>
      <c r="BC172" s="38">
        <v>138</v>
      </c>
      <c r="BD172" s="38">
        <v>0</v>
      </c>
      <c r="BE172" s="38">
        <v>0</v>
      </c>
      <c r="BF172" s="38">
        <v>0</v>
      </c>
      <c r="BG172" s="40">
        <v>0</v>
      </c>
      <c r="BH172" s="40" t="s">
        <v>1416</v>
      </c>
      <c r="BI172" s="40">
        <v>0</v>
      </c>
    </row>
    <row r="173" spans="1:61" x14ac:dyDescent="0.25">
      <c r="A173" s="6">
        <v>172</v>
      </c>
      <c r="B173" s="6" t="s">
        <v>1571</v>
      </c>
      <c r="D173" s="6" t="s">
        <v>1592</v>
      </c>
      <c r="E173" s="6" t="s">
        <v>71</v>
      </c>
      <c r="F173" s="17">
        <v>42013.732638888891</v>
      </c>
      <c r="G173" s="21">
        <v>-2</v>
      </c>
      <c r="H173" s="4">
        <f t="shared" si="10"/>
        <v>42013.649305555555</v>
      </c>
      <c r="I173" s="3">
        <v>0.97599999999999998</v>
      </c>
      <c r="O173" s="3">
        <v>-23.16</v>
      </c>
      <c r="P173" s="3">
        <v>-48.181111000000001</v>
      </c>
      <c r="V173" s="3" t="s">
        <v>115</v>
      </c>
      <c r="W173" s="3" t="s">
        <v>1578</v>
      </c>
      <c r="AG173" s="5">
        <v>-1.5</v>
      </c>
      <c r="AH173" s="5">
        <v>1.5</v>
      </c>
      <c r="AI173" s="45">
        <v>0</v>
      </c>
      <c r="AJ173" s="45">
        <v>0</v>
      </c>
      <c r="AK173" s="45">
        <v>0</v>
      </c>
      <c r="AL173" s="23">
        <v>0</v>
      </c>
      <c r="AM173" s="23">
        <v>0</v>
      </c>
      <c r="AN173" s="23">
        <v>0</v>
      </c>
      <c r="AO173" s="23">
        <v>0</v>
      </c>
      <c r="AP173" s="23">
        <v>0</v>
      </c>
      <c r="AQ173" s="23">
        <v>0</v>
      </c>
      <c r="AR173" s="25">
        <v>0</v>
      </c>
      <c r="AS173" s="54">
        <v>0</v>
      </c>
      <c r="AT173" s="52">
        <v>0</v>
      </c>
      <c r="AU173" s="52">
        <v>0</v>
      </c>
      <c r="AV173" s="52">
        <v>0</v>
      </c>
      <c r="AW173" s="38">
        <v>0</v>
      </c>
      <c r="AX173" s="38">
        <v>139</v>
      </c>
      <c r="AY173" s="38">
        <v>0</v>
      </c>
      <c r="AZ173" s="38">
        <v>0</v>
      </c>
      <c r="BA173" s="38">
        <v>0</v>
      </c>
      <c r="BB173" s="38">
        <v>0</v>
      </c>
      <c r="BC173" s="38">
        <v>138</v>
      </c>
      <c r="BD173" s="38">
        <v>0</v>
      </c>
      <c r="BE173" s="38">
        <v>0</v>
      </c>
      <c r="BF173" s="38">
        <v>0</v>
      </c>
      <c r="BG173" s="40">
        <v>0</v>
      </c>
      <c r="BH173" s="40" t="s">
        <v>1416</v>
      </c>
      <c r="BI173" s="40">
        <v>0</v>
      </c>
    </row>
    <row r="174" spans="1:61" x14ac:dyDescent="0.25">
      <c r="A174" s="6">
        <v>173</v>
      </c>
      <c r="B174" s="6" t="s">
        <v>1572</v>
      </c>
      <c r="C174" s="6" t="s">
        <v>1593</v>
      </c>
      <c r="D174" s="6" t="s">
        <v>1594</v>
      </c>
      <c r="E174" s="6" t="s">
        <v>142</v>
      </c>
      <c r="F174" s="17">
        <v>42435.900590277779</v>
      </c>
      <c r="G174" s="21">
        <v>1</v>
      </c>
      <c r="H174" s="4">
        <f t="shared" si="10"/>
        <v>42435.942256944443</v>
      </c>
      <c r="I174" s="3">
        <v>600</v>
      </c>
      <c r="O174" s="3">
        <v>48.295000000000002</v>
      </c>
      <c r="P174" s="3">
        <v>13.116667</v>
      </c>
      <c r="V174" s="3" t="s">
        <v>115</v>
      </c>
      <c r="W174" s="3" t="s">
        <v>1579</v>
      </c>
      <c r="AG174" s="5">
        <v>-1.5</v>
      </c>
      <c r="AH174" s="5">
        <v>1.5</v>
      </c>
      <c r="AI174" s="45">
        <v>0</v>
      </c>
      <c r="AJ174" s="45">
        <v>0</v>
      </c>
      <c r="AK174" s="45">
        <v>0</v>
      </c>
      <c r="AL174" s="23">
        <v>0</v>
      </c>
      <c r="AM174" s="23">
        <v>0</v>
      </c>
      <c r="AN174" s="23">
        <v>0</v>
      </c>
      <c r="AO174" s="23">
        <v>0</v>
      </c>
      <c r="AP174" s="23">
        <v>0</v>
      </c>
      <c r="AQ174" s="23">
        <v>0</v>
      </c>
      <c r="AR174" s="25">
        <v>0</v>
      </c>
      <c r="AS174" s="54">
        <v>0</v>
      </c>
      <c r="AT174" s="52">
        <v>0</v>
      </c>
      <c r="AU174" s="52">
        <v>0</v>
      </c>
      <c r="AV174" s="52">
        <v>0</v>
      </c>
      <c r="AW174" s="38">
        <v>0</v>
      </c>
      <c r="AX174" s="38">
        <v>139</v>
      </c>
      <c r="AY174" s="38">
        <v>0</v>
      </c>
      <c r="AZ174" s="38">
        <v>0</v>
      </c>
      <c r="BA174" s="38">
        <v>0</v>
      </c>
      <c r="BB174" s="38">
        <v>0</v>
      </c>
      <c r="BC174" s="38">
        <v>138</v>
      </c>
      <c r="BD174" s="38">
        <v>0</v>
      </c>
      <c r="BE174" s="38">
        <v>0</v>
      </c>
      <c r="BF174" s="38">
        <v>0</v>
      </c>
      <c r="BG174" s="40">
        <v>0</v>
      </c>
      <c r="BH174" s="40" t="s">
        <v>1416</v>
      </c>
      <c r="BI174" s="40">
        <v>0</v>
      </c>
    </row>
    <row r="175" spans="1:61" x14ac:dyDescent="0.25">
      <c r="A175" s="6">
        <v>174</v>
      </c>
      <c r="B175" s="6" t="s">
        <v>1573</v>
      </c>
      <c r="C175" s="6" t="s">
        <v>1573</v>
      </c>
      <c r="D175" s="6" t="s">
        <v>1595</v>
      </c>
      <c r="E175" s="6" t="s">
        <v>1025</v>
      </c>
      <c r="F175" s="17">
        <v>44214.013148148151</v>
      </c>
      <c r="G175" s="21">
        <v>1</v>
      </c>
      <c r="H175" s="4">
        <f t="shared" si="10"/>
        <v>44214.054814814815</v>
      </c>
      <c r="I175" s="3">
        <v>2620</v>
      </c>
      <c r="O175" s="3">
        <v>42.871167</v>
      </c>
      <c r="P175" s="3">
        <v>-7.3230000000000004</v>
      </c>
      <c r="V175" s="3" t="s">
        <v>115</v>
      </c>
      <c r="W175" s="3" t="s">
        <v>244</v>
      </c>
      <c r="AG175" s="5">
        <v>-1.5</v>
      </c>
      <c r="AH175" s="5">
        <v>1.5</v>
      </c>
      <c r="AI175" s="45">
        <v>0</v>
      </c>
      <c r="AJ175" s="45">
        <v>0</v>
      </c>
      <c r="AK175" s="45">
        <v>0</v>
      </c>
      <c r="AL175" s="23">
        <v>0</v>
      </c>
      <c r="AM175" s="23">
        <v>0</v>
      </c>
      <c r="AN175" s="23">
        <v>0</v>
      </c>
      <c r="AO175" s="23">
        <v>0</v>
      </c>
      <c r="AP175" s="23">
        <v>0</v>
      </c>
      <c r="AQ175" s="23">
        <v>0</v>
      </c>
      <c r="AR175" s="25">
        <v>0</v>
      </c>
      <c r="AS175" s="54">
        <v>0</v>
      </c>
      <c r="AT175" s="52">
        <v>0</v>
      </c>
      <c r="AU175" s="52">
        <v>0</v>
      </c>
      <c r="AV175" s="52">
        <v>0</v>
      </c>
      <c r="AW175" s="38">
        <v>0</v>
      </c>
      <c r="AX175" s="38">
        <v>139</v>
      </c>
      <c r="AY175" s="38">
        <v>0</v>
      </c>
      <c r="AZ175" s="38">
        <v>0</v>
      </c>
      <c r="BA175" s="38">
        <v>0</v>
      </c>
      <c r="BB175" s="38">
        <v>0</v>
      </c>
      <c r="BC175" s="38">
        <v>138</v>
      </c>
      <c r="BD175" s="38">
        <v>0</v>
      </c>
      <c r="BE175" s="38">
        <v>0</v>
      </c>
      <c r="BF175" s="38">
        <v>0</v>
      </c>
      <c r="BG175" s="40">
        <v>0</v>
      </c>
      <c r="BH175" s="40" t="s">
        <v>1416</v>
      </c>
      <c r="BI175" s="40">
        <v>0</v>
      </c>
    </row>
    <row r="176" spans="1:61" x14ac:dyDescent="0.25">
      <c r="A176" s="6">
        <v>175</v>
      </c>
      <c r="B176" s="6" t="s">
        <v>1574</v>
      </c>
      <c r="C176" s="6" t="s">
        <v>1574</v>
      </c>
      <c r="D176" s="6" t="s">
        <v>1596</v>
      </c>
      <c r="E176" s="6" t="s">
        <v>569</v>
      </c>
      <c r="F176" s="17">
        <v>43497.761921296296</v>
      </c>
      <c r="G176" s="21">
        <v>-5</v>
      </c>
      <c r="H176" s="4">
        <f t="shared" si="10"/>
        <v>43497.553587962961</v>
      </c>
      <c r="I176" s="3">
        <v>50</v>
      </c>
      <c r="O176" s="3">
        <v>22.619499999999999</v>
      </c>
      <c r="P176" s="3">
        <v>-83.742833000000005</v>
      </c>
      <c r="V176" s="3" t="s">
        <v>115</v>
      </c>
      <c r="W176" s="3" t="s">
        <v>245</v>
      </c>
      <c r="AG176" s="5">
        <v>-1.5</v>
      </c>
      <c r="AH176" s="5">
        <v>1.5</v>
      </c>
      <c r="AI176" s="45">
        <v>0</v>
      </c>
      <c r="AJ176" s="45">
        <v>0</v>
      </c>
      <c r="AK176" s="45">
        <v>0</v>
      </c>
      <c r="AL176" s="23">
        <v>0</v>
      </c>
      <c r="AM176" s="23">
        <v>0</v>
      </c>
      <c r="AN176" s="23">
        <v>0</v>
      </c>
      <c r="AO176" s="23">
        <v>0</v>
      </c>
      <c r="AP176" s="23">
        <v>0</v>
      </c>
      <c r="AQ176" s="23">
        <v>0</v>
      </c>
      <c r="AR176" s="25">
        <v>0</v>
      </c>
      <c r="AS176" s="54">
        <v>0</v>
      </c>
      <c r="AT176" s="52">
        <v>0</v>
      </c>
      <c r="AU176" s="52">
        <v>0</v>
      </c>
      <c r="AV176" s="52">
        <v>0</v>
      </c>
      <c r="AW176" s="38">
        <v>0</v>
      </c>
      <c r="AX176" s="38">
        <v>139</v>
      </c>
      <c r="AY176" s="38">
        <v>0</v>
      </c>
      <c r="AZ176" s="38">
        <v>0</v>
      </c>
      <c r="BA176" s="38">
        <v>0</v>
      </c>
      <c r="BB176" s="38">
        <v>0</v>
      </c>
      <c r="BC176" s="38">
        <v>138</v>
      </c>
      <c r="BD176" s="38">
        <v>0</v>
      </c>
      <c r="BE176" s="38">
        <v>0</v>
      </c>
      <c r="BF176" s="38">
        <v>0</v>
      </c>
      <c r="BG176" s="40">
        <v>0</v>
      </c>
      <c r="BH176" s="40" t="s">
        <v>1416</v>
      </c>
      <c r="BI176" s="40">
        <v>0</v>
      </c>
    </row>
    <row r="177" spans="1:61" x14ac:dyDescent="0.25">
      <c r="A177" s="6">
        <v>176</v>
      </c>
      <c r="B177" s="6" t="s">
        <v>853</v>
      </c>
      <c r="C177" s="6" t="s">
        <v>1601</v>
      </c>
      <c r="D177" s="6" t="s">
        <v>1602</v>
      </c>
      <c r="E177" s="6" t="s">
        <v>853</v>
      </c>
      <c r="F177" s="17">
        <v>45031.348622685182</v>
      </c>
      <c r="G177" s="21">
        <v>2</v>
      </c>
      <c r="H177" s="4">
        <f t="shared" si="10"/>
        <v>45031.431956018518</v>
      </c>
      <c r="I177" s="3">
        <v>178054</v>
      </c>
      <c r="J177" s="3">
        <v>17210</v>
      </c>
      <c r="K177" s="3">
        <f t="shared" ref="K177:K192" si="13">I177*J177^2/2/4.184/10^12</f>
        <v>6.3021945197657745</v>
      </c>
      <c r="L177" s="3">
        <v>294.10000000000002</v>
      </c>
      <c r="M177" s="3">
        <v>54.8</v>
      </c>
      <c r="O177" s="3">
        <v>-20.100000000000001</v>
      </c>
      <c r="P177" s="3">
        <v>36</v>
      </c>
      <c r="Q177" s="3">
        <v>41400</v>
      </c>
      <c r="R177" s="3">
        <v>41400</v>
      </c>
      <c r="S177" s="3">
        <v>5000</v>
      </c>
      <c r="T177" s="3">
        <v>54.8</v>
      </c>
      <c r="U177" s="3">
        <v>0</v>
      </c>
      <c r="V177" s="3" t="s">
        <v>144</v>
      </c>
      <c r="W177" s="3" t="s">
        <v>382</v>
      </c>
      <c r="X177" s="3">
        <v>0</v>
      </c>
      <c r="Y177" s="3">
        <v>60000</v>
      </c>
      <c r="Z177" s="3">
        <v>60000</v>
      </c>
      <c r="AA177" s="5">
        <v>500</v>
      </c>
      <c r="AB177" s="5">
        <v>0.5</v>
      </c>
      <c r="AC177" s="5">
        <v>0.5</v>
      </c>
      <c r="AD177" s="5">
        <v>0.05</v>
      </c>
      <c r="AE177" s="5">
        <v>0.05</v>
      </c>
      <c r="AF177" s="5">
        <v>500</v>
      </c>
      <c r="AG177" s="5">
        <v>-1.5</v>
      </c>
      <c r="AH177" s="5">
        <v>1.5</v>
      </c>
      <c r="AI177" s="45">
        <v>0</v>
      </c>
      <c r="AJ177" s="45">
        <v>0</v>
      </c>
      <c r="AK177" s="45">
        <v>0</v>
      </c>
      <c r="AL177" s="23">
        <v>0</v>
      </c>
      <c r="AM177" s="23">
        <v>0</v>
      </c>
      <c r="AN177" s="23">
        <v>0</v>
      </c>
      <c r="AO177" s="23">
        <v>0</v>
      </c>
      <c r="AP177" s="23">
        <v>0</v>
      </c>
      <c r="AQ177" s="23">
        <v>0</v>
      </c>
      <c r="AR177" s="25">
        <v>0</v>
      </c>
      <c r="AS177" s="54">
        <v>0</v>
      </c>
      <c r="AT177" s="52">
        <v>0</v>
      </c>
      <c r="AU177" s="52">
        <v>0</v>
      </c>
      <c r="AV177" s="52">
        <v>0</v>
      </c>
      <c r="AW177" s="38">
        <v>0</v>
      </c>
      <c r="AX177" s="38">
        <v>4</v>
      </c>
      <c r="AY177" s="38">
        <v>0</v>
      </c>
      <c r="AZ177" s="38">
        <v>0</v>
      </c>
      <c r="BA177" s="38">
        <v>0</v>
      </c>
      <c r="BB177" s="38">
        <v>0</v>
      </c>
      <c r="BC177" s="38">
        <v>4</v>
      </c>
      <c r="BD177" s="38">
        <v>0</v>
      </c>
      <c r="BE177" s="38">
        <v>0</v>
      </c>
      <c r="BF177" s="38">
        <v>0</v>
      </c>
      <c r="BG177" s="40">
        <v>2</v>
      </c>
      <c r="BH177" s="40" t="s">
        <v>1416</v>
      </c>
      <c r="BI177" s="40">
        <v>0</v>
      </c>
    </row>
    <row r="178" spans="1:61" x14ac:dyDescent="0.25">
      <c r="A178" s="6">
        <v>177</v>
      </c>
      <c r="B178" s="6" t="s">
        <v>1603</v>
      </c>
      <c r="C178" s="6" t="s">
        <v>1603</v>
      </c>
      <c r="D178" s="6" t="s">
        <v>1603</v>
      </c>
      <c r="E178" s="6" t="s">
        <v>1025</v>
      </c>
      <c r="F178" s="17">
        <v>45018.811666666668</v>
      </c>
      <c r="G178" s="21">
        <v>2</v>
      </c>
      <c r="H178" s="4">
        <f t="shared" si="10"/>
        <v>45018.895000000004</v>
      </c>
      <c r="I178" s="3">
        <v>50</v>
      </c>
      <c r="J178" s="3">
        <v>13610</v>
      </c>
      <c r="K178" s="3">
        <f t="shared" si="13"/>
        <v>1.10678836042065E-3</v>
      </c>
      <c r="L178" s="3">
        <v>208.24</v>
      </c>
      <c r="M178" s="3">
        <v>37.25</v>
      </c>
      <c r="N178" s="3" t="s">
        <v>1334</v>
      </c>
      <c r="O178" s="3">
        <v>39.803229999999999</v>
      </c>
      <c r="P178" s="3">
        <v>-4.05924</v>
      </c>
      <c r="Q178" s="3">
        <v>24000</v>
      </c>
      <c r="R178" s="3">
        <v>24000</v>
      </c>
      <c r="S178" s="3">
        <v>5000</v>
      </c>
      <c r="T178" s="3">
        <f>M178</f>
        <v>37.25</v>
      </c>
      <c r="U178" s="3">
        <v>24000</v>
      </c>
      <c r="V178" s="3" t="s">
        <v>144</v>
      </c>
      <c r="W178" s="3" t="s">
        <v>382</v>
      </c>
      <c r="X178" s="3">
        <v>0</v>
      </c>
      <c r="Y178" s="3">
        <v>60000</v>
      </c>
      <c r="Z178" s="3">
        <v>60000</v>
      </c>
      <c r="AA178" s="5">
        <v>500</v>
      </c>
      <c r="AB178" s="5">
        <v>0.5</v>
      </c>
      <c r="AC178" s="5">
        <v>0.5</v>
      </c>
      <c r="AD178" s="5">
        <v>0.02</v>
      </c>
      <c r="AE178" s="5">
        <v>0.02</v>
      </c>
      <c r="AF178" s="5">
        <v>500</v>
      </c>
      <c r="AG178" s="5">
        <v>-1.5</v>
      </c>
      <c r="AH178" s="5">
        <v>1.5</v>
      </c>
      <c r="AI178" s="45">
        <v>0</v>
      </c>
      <c r="AJ178" s="45">
        <v>0</v>
      </c>
      <c r="AK178" s="45">
        <v>0</v>
      </c>
      <c r="AL178" s="23">
        <v>0</v>
      </c>
      <c r="AM178" s="23">
        <v>0</v>
      </c>
      <c r="AN178" s="23">
        <v>0</v>
      </c>
      <c r="AO178" s="23">
        <v>0</v>
      </c>
      <c r="AP178" s="23">
        <v>0</v>
      </c>
      <c r="AQ178" s="23">
        <v>0</v>
      </c>
      <c r="AR178" s="25">
        <v>0</v>
      </c>
      <c r="AS178" s="54">
        <v>0</v>
      </c>
      <c r="AT178" s="52">
        <v>0</v>
      </c>
      <c r="AU178" s="52">
        <v>0</v>
      </c>
      <c r="AV178" s="52">
        <v>0</v>
      </c>
      <c r="AW178" s="38">
        <v>0</v>
      </c>
      <c r="AX178" s="38">
        <v>140</v>
      </c>
      <c r="AY178" s="38">
        <v>0</v>
      </c>
      <c r="AZ178" s="38">
        <v>0</v>
      </c>
      <c r="BA178" s="38">
        <v>0</v>
      </c>
      <c r="BB178" s="38">
        <v>0</v>
      </c>
      <c r="BC178" s="38">
        <v>140</v>
      </c>
      <c r="BD178" s="38">
        <v>0</v>
      </c>
      <c r="BE178" s="38">
        <v>0</v>
      </c>
      <c r="BF178" s="38">
        <v>0</v>
      </c>
      <c r="BG178" s="40">
        <v>2</v>
      </c>
      <c r="BH178" s="40" t="s">
        <v>1605</v>
      </c>
      <c r="BI178" s="40">
        <v>1</v>
      </c>
    </row>
    <row r="179" spans="1:61" x14ac:dyDescent="0.25">
      <c r="A179" s="6">
        <v>178</v>
      </c>
      <c r="B179" s="6" t="s">
        <v>1606</v>
      </c>
      <c r="C179" s="6" t="s">
        <v>1606</v>
      </c>
      <c r="D179" s="6" t="s">
        <v>1607</v>
      </c>
      <c r="E179" s="6" t="s">
        <v>4</v>
      </c>
      <c r="F179" s="17">
        <v>45024.661458333336</v>
      </c>
      <c r="G179" s="21">
        <v>-4</v>
      </c>
      <c r="H179" s="4">
        <f t="shared" si="10"/>
        <v>45024.494791666672</v>
      </c>
      <c r="I179" s="3">
        <v>400</v>
      </c>
      <c r="J179" s="3">
        <v>17000</v>
      </c>
      <c r="K179" s="3">
        <f t="shared" si="13"/>
        <v>1.381453154875717E-2</v>
      </c>
      <c r="L179" s="3">
        <v>196</v>
      </c>
      <c r="M179" s="3">
        <v>45</v>
      </c>
      <c r="N179" s="3" t="s">
        <v>1334</v>
      </c>
      <c r="O179" s="3">
        <v>45.390799999999999</v>
      </c>
      <c r="P179" s="3">
        <v>-67.544799999999995</v>
      </c>
      <c r="Q179" s="3">
        <v>16000</v>
      </c>
      <c r="R179" s="3">
        <v>16000</v>
      </c>
      <c r="S179" s="3">
        <v>5000</v>
      </c>
      <c r="T179" s="3">
        <f>M179</f>
        <v>45</v>
      </c>
      <c r="U179" s="3">
        <v>12000</v>
      </c>
      <c r="V179" s="3" t="s">
        <v>144</v>
      </c>
      <c r="W179" s="3" t="s">
        <v>382</v>
      </c>
      <c r="X179" s="3">
        <v>0</v>
      </c>
      <c r="Y179" s="3">
        <v>60000</v>
      </c>
      <c r="Z179" s="3">
        <v>60000</v>
      </c>
      <c r="AA179" s="5">
        <v>5000</v>
      </c>
      <c r="AB179" s="5">
        <v>10</v>
      </c>
      <c r="AC179" s="5">
        <v>10</v>
      </c>
      <c r="AD179" s="5">
        <v>0.01</v>
      </c>
      <c r="AE179" s="5">
        <v>0.03</v>
      </c>
      <c r="AF179" s="5">
        <v>4000</v>
      </c>
      <c r="AG179" s="5">
        <v>-1.5</v>
      </c>
      <c r="AH179" s="5">
        <v>1.5</v>
      </c>
      <c r="AI179" s="45">
        <v>0</v>
      </c>
      <c r="AJ179" s="45">
        <v>0</v>
      </c>
      <c r="AK179" s="45">
        <v>0</v>
      </c>
      <c r="AL179" s="23">
        <v>0</v>
      </c>
      <c r="AM179" s="23">
        <v>0</v>
      </c>
      <c r="AN179" s="23">
        <v>0</v>
      </c>
      <c r="AO179" s="23">
        <v>0</v>
      </c>
      <c r="AP179" s="23">
        <v>0</v>
      </c>
      <c r="AQ179" s="23">
        <v>0</v>
      </c>
      <c r="AR179" s="25">
        <v>0</v>
      </c>
      <c r="AS179" s="54">
        <v>0</v>
      </c>
      <c r="AT179" s="52">
        <v>0</v>
      </c>
      <c r="AU179" s="52">
        <v>0</v>
      </c>
      <c r="AV179" s="52">
        <v>0</v>
      </c>
      <c r="AW179" s="38">
        <v>0</v>
      </c>
      <c r="AX179" s="38">
        <v>0</v>
      </c>
      <c r="AY179" s="38">
        <v>0</v>
      </c>
      <c r="AZ179" s="38">
        <v>0</v>
      </c>
      <c r="BA179" s="38">
        <v>0</v>
      </c>
      <c r="BB179" s="38">
        <v>0</v>
      </c>
      <c r="BC179" s="38">
        <v>0</v>
      </c>
      <c r="BD179" s="38">
        <v>0</v>
      </c>
      <c r="BE179" s="38">
        <v>0</v>
      </c>
      <c r="BF179" s="38">
        <v>0</v>
      </c>
      <c r="BG179" s="40">
        <v>1</v>
      </c>
      <c r="BH179" s="40" t="s">
        <v>1416</v>
      </c>
      <c r="BI179" s="40">
        <v>0</v>
      </c>
    </row>
    <row r="180" spans="1:61" x14ac:dyDescent="0.25">
      <c r="A180" s="6">
        <v>179</v>
      </c>
      <c r="B180" s="6" t="s">
        <v>1608</v>
      </c>
      <c r="C180" s="6" t="s">
        <v>1608</v>
      </c>
      <c r="D180" s="6" t="s">
        <v>1609</v>
      </c>
      <c r="E180" s="6" t="s">
        <v>142</v>
      </c>
      <c r="F180" s="17">
        <v>45041.510416666664</v>
      </c>
      <c r="G180" s="21">
        <v>2</v>
      </c>
      <c r="H180" s="4">
        <f t="shared" si="10"/>
        <v>45041.59375</v>
      </c>
      <c r="I180" s="3">
        <v>500</v>
      </c>
      <c r="J180" s="3">
        <v>20500</v>
      </c>
      <c r="K180" s="3">
        <f t="shared" si="13"/>
        <v>2.511054015296367E-2</v>
      </c>
      <c r="L180" s="3">
        <v>153</v>
      </c>
      <c r="M180" s="3">
        <v>5</v>
      </c>
      <c r="N180" s="3" t="s">
        <v>1334</v>
      </c>
      <c r="O180" s="3">
        <v>53.772651000000003</v>
      </c>
      <c r="P180" s="3">
        <v>9.6109229999999997</v>
      </c>
      <c r="Q180" s="3">
        <v>18000</v>
      </c>
      <c r="R180" s="3">
        <v>18000</v>
      </c>
      <c r="S180" s="3">
        <v>5000</v>
      </c>
      <c r="T180" s="3">
        <v>5</v>
      </c>
      <c r="U180" s="3">
        <v>12000</v>
      </c>
      <c r="V180" s="3" t="s">
        <v>81</v>
      </c>
      <c r="W180" s="3" t="s">
        <v>382</v>
      </c>
      <c r="X180" s="3">
        <v>3500</v>
      </c>
      <c r="Y180" s="3">
        <v>60000</v>
      </c>
      <c r="Z180" s="3">
        <v>60000</v>
      </c>
      <c r="AA180" s="5">
        <v>3000</v>
      </c>
      <c r="AB180" s="5">
        <v>2</v>
      </c>
      <c r="AC180" s="5">
        <v>2</v>
      </c>
      <c r="AD180" s="5">
        <v>8.9999999999999993E-3</v>
      </c>
      <c r="AE180" s="5">
        <v>1.4999999999999999E-2</v>
      </c>
      <c r="AF180" s="5">
        <v>0</v>
      </c>
      <c r="AG180" s="5">
        <v>-1</v>
      </c>
      <c r="AH180" s="5">
        <v>1</v>
      </c>
      <c r="AI180" s="45">
        <v>0</v>
      </c>
      <c r="AJ180" s="45">
        <v>0</v>
      </c>
      <c r="AK180" s="45">
        <v>0</v>
      </c>
      <c r="AL180" s="23">
        <v>0</v>
      </c>
      <c r="AM180" s="23">
        <v>13</v>
      </c>
      <c r="AN180" s="23">
        <v>6</v>
      </c>
      <c r="AO180" s="23">
        <v>3600</v>
      </c>
      <c r="AP180" s="23">
        <v>0</v>
      </c>
      <c r="AQ180" s="23">
        <v>0</v>
      </c>
      <c r="AR180" s="25">
        <v>0</v>
      </c>
      <c r="AS180" s="54">
        <v>0</v>
      </c>
      <c r="AT180" s="52">
        <v>0</v>
      </c>
      <c r="AU180" s="52">
        <v>0</v>
      </c>
      <c r="AV180" s="52">
        <v>0</v>
      </c>
      <c r="AW180" s="38">
        <v>0</v>
      </c>
      <c r="AX180" s="38">
        <v>0</v>
      </c>
      <c r="AY180" s="38">
        <v>0</v>
      </c>
      <c r="AZ180" s="38">
        <v>0</v>
      </c>
      <c r="BA180" s="38">
        <v>0</v>
      </c>
      <c r="BB180" s="38">
        <v>0</v>
      </c>
      <c r="BC180" s="38">
        <v>0</v>
      </c>
      <c r="BD180" s="38">
        <v>0</v>
      </c>
      <c r="BE180" s="38">
        <v>0</v>
      </c>
      <c r="BF180" s="38">
        <v>0</v>
      </c>
      <c r="BG180" s="40">
        <v>4</v>
      </c>
      <c r="BH180" s="40" t="s">
        <v>1610</v>
      </c>
      <c r="BI180" s="40">
        <v>0</v>
      </c>
    </row>
    <row r="181" spans="1:61" x14ac:dyDescent="0.25">
      <c r="A181" s="6">
        <v>180</v>
      </c>
      <c r="B181" s="6" t="s">
        <v>1613</v>
      </c>
      <c r="C181" s="6" t="s">
        <v>1613</v>
      </c>
      <c r="D181" s="6" t="s">
        <v>1611</v>
      </c>
      <c r="E181" s="6" t="s">
        <v>394</v>
      </c>
      <c r="F181" s="17">
        <v>45043.070017939812</v>
      </c>
      <c r="G181" s="21">
        <v>2</v>
      </c>
      <c r="H181" s="4">
        <f t="shared" si="10"/>
        <v>45043.153351273148</v>
      </c>
      <c r="I181" s="3">
        <v>50</v>
      </c>
      <c r="J181" s="3">
        <v>14321</v>
      </c>
      <c r="K181" s="3">
        <f t="shared" si="13"/>
        <v>1.2254483807361376E-3</v>
      </c>
      <c r="L181" s="3">
        <v>126.85</v>
      </c>
      <c r="M181" s="3">
        <v>24.757999999999999</v>
      </c>
      <c r="N181" s="3" t="s">
        <v>1334</v>
      </c>
      <c r="O181" s="3">
        <v>52.758159999999997</v>
      </c>
      <c r="P181" s="3">
        <v>22.029309999999999</v>
      </c>
      <c r="Q181" s="3">
        <v>28151</v>
      </c>
      <c r="R181" s="3">
        <f>Q181</f>
        <v>28151</v>
      </c>
      <c r="S181" s="3">
        <v>5000</v>
      </c>
      <c r="T181" s="3">
        <f>M181</f>
        <v>24.757999999999999</v>
      </c>
      <c r="U181" s="3">
        <f>Q181</f>
        <v>28151</v>
      </c>
      <c r="V181" s="3" t="s">
        <v>144</v>
      </c>
      <c r="W181" s="3" t="s">
        <v>382</v>
      </c>
      <c r="X181" s="3">
        <v>0</v>
      </c>
      <c r="Y181" s="3">
        <v>60000</v>
      </c>
      <c r="Z181" s="3">
        <v>60000</v>
      </c>
      <c r="AA181" s="5">
        <v>3948</v>
      </c>
      <c r="AB181" s="5">
        <v>4.8099999999999996</v>
      </c>
      <c r="AC181" s="5">
        <v>3.48</v>
      </c>
      <c r="AD181" s="5">
        <v>3.0300000000000001E-3</v>
      </c>
      <c r="AE181" s="5">
        <v>1.5800000000000002E-2</v>
      </c>
      <c r="AF181" s="5">
        <v>919</v>
      </c>
      <c r="AG181" s="5">
        <v>-1</v>
      </c>
      <c r="AH181" s="5">
        <v>1</v>
      </c>
      <c r="AI181" s="45">
        <v>0</v>
      </c>
      <c r="AJ181" s="45">
        <v>0</v>
      </c>
      <c r="AK181" s="45">
        <v>0</v>
      </c>
      <c r="AL181" s="23">
        <v>0</v>
      </c>
      <c r="AM181" s="23">
        <v>0</v>
      </c>
      <c r="AN181" s="23">
        <v>0</v>
      </c>
      <c r="AO181" s="23">
        <v>0</v>
      </c>
      <c r="AP181" s="23">
        <v>0</v>
      </c>
      <c r="AQ181" s="23">
        <v>0</v>
      </c>
      <c r="AR181" s="25">
        <v>0</v>
      </c>
      <c r="AS181" s="54">
        <v>0</v>
      </c>
      <c r="AT181" s="52">
        <v>0</v>
      </c>
      <c r="AU181" s="52">
        <v>0</v>
      </c>
      <c r="AV181" s="52">
        <v>0</v>
      </c>
      <c r="AW181" s="38">
        <v>0</v>
      </c>
      <c r="AX181" s="38">
        <v>0</v>
      </c>
      <c r="AY181" s="38">
        <v>0</v>
      </c>
      <c r="AZ181" s="38">
        <v>0</v>
      </c>
      <c r="BA181" s="38">
        <v>0</v>
      </c>
      <c r="BB181" s="38">
        <v>0</v>
      </c>
      <c r="BC181" s="38">
        <v>0</v>
      </c>
      <c r="BD181" s="38">
        <v>0</v>
      </c>
      <c r="BE181" s="38">
        <v>0</v>
      </c>
      <c r="BF181" s="38">
        <v>0</v>
      </c>
      <c r="BG181" s="40">
        <v>3</v>
      </c>
      <c r="BH181" s="40" t="s">
        <v>1612</v>
      </c>
      <c r="BI181" s="40">
        <v>0</v>
      </c>
    </row>
    <row r="182" spans="1:61" x14ac:dyDescent="0.25">
      <c r="A182" s="6">
        <v>181</v>
      </c>
      <c r="B182" s="6" t="s">
        <v>1614</v>
      </c>
      <c r="C182" s="6" t="s">
        <v>1614</v>
      </c>
      <c r="D182" s="6" t="s">
        <v>1615</v>
      </c>
      <c r="E182" s="6" t="s">
        <v>4</v>
      </c>
      <c r="F182" s="17">
        <v>45054.682638888888</v>
      </c>
      <c r="G182" s="21">
        <v>-4</v>
      </c>
      <c r="H182" s="4">
        <f t="shared" si="10"/>
        <v>45054.515972222223</v>
      </c>
      <c r="I182" s="3">
        <v>25</v>
      </c>
      <c r="J182" s="3">
        <v>17000</v>
      </c>
      <c r="K182" s="3">
        <f t="shared" si="13"/>
        <v>8.634082217973231E-4</v>
      </c>
      <c r="L182" s="3">
        <v>270</v>
      </c>
      <c r="M182" s="3">
        <v>29</v>
      </c>
      <c r="N182" s="3" t="s">
        <v>1334</v>
      </c>
      <c r="O182" s="3">
        <v>40.318809000000002</v>
      </c>
      <c r="P182" s="3">
        <v>-74.801321999999999</v>
      </c>
      <c r="Q182" s="3">
        <v>25000</v>
      </c>
      <c r="R182" s="3">
        <v>25000</v>
      </c>
      <c r="S182" s="3">
        <v>5000</v>
      </c>
      <c r="T182" s="3">
        <v>30</v>
      </c>
      <c r="U182" s="3">
        <v>25000</v>
      </c>
      <c r="V182" s="3" t="s">
        <v>1433</v>
      </c>
      <c r="W182" s="3" t="s">
        <v>1579</v>
      </c>
      <c r="X182" s="3">
        <v>3300</v>
      </c>
      <c r="Y182" s="3">
        <v>60000</v>
      </c>
      <c r="Z182" s="3">
        <v>60000</v>
      </c>
      <c r="AA182" s="5">
        <v>3000</v>
      </c>
      <c r="AB182" s="5">
        <v>5</v>
      </c>
      <c r="AC182" s="5">
        <v>5</v>
      </c>
      <c r="AD182" s="5">
        <v>8.9999999999999993E-3</v>
      </c>
      <c r="AE182" s="5">
        <v>1.2E-2</v>
      </c>
      <c r="AF182" s="5">
        <v>0</v>
      </c>
      <c r="AG182" s="5">
        <v>-1</v>
      </c>
      <c r="AH182" s="5">
        <v>1</v>
      </c>
      <c r="AI182" s="45">
        <v>0</v>
      </c>
      <c r="AJ182" s="45">
        <v>0</v>
      </c>
      <c r="AK182" s="45">
        <v>0</v>
      </c>
      <c r="AL182" s="23">
        <v>0</v>
      </c>
      <c r="AM182" s="23">
        <v>0</v>
      </c>
      <c r="AN182" s="23">
        <v>0</v>
      </c>
      <c r="AO182" s="23">
        <v>0</v>
      </c>
      <c r="AP182" s="23">
        <v>0</v>
      </c>
      <c r="AQ182" s="23">
        <v>0</v>
      </c>
      <c r="AR182" s="25">
        <v>0</v>
      </c>
      <c r="AS182" s="54">
        <v>0</v>
      </c>
      <c r="AT182" s="52">
        <v>0</v>
      </c>
      <c r="AU182" s="52">
        <v>0</v>
      </c>
      <c r="AV182" s="52">
        <v>0</v>
      </c>
      <c r="AW182" s="38">
        <v>0</v>
      </c>
      <c r="AX182" s="38">
        <v>0</v>
      </c>
      <c r="AY182" s="38">
        <v>0</v>
      </c>
      <c r="AZ182" s="38">
        <v>141</v>
      </c>
      <c r="BA182" s="38">
        <v>0</v>
      </c>
      <c r="BB182" s="38">
        <v>0</v>
      </c>
      <c r="BC182" s="38">
        <v>0</v>
      </c>
      <c r="BD182" s="38">
        <v>0</v>
      </c>
      <c r="BE182" s="38">
        <v>0</v>
      </c>
      <c r="BF182" s="38">
        <v>0</v>
      </c>
      <c r="BG182" s="40">
        <v>0</v>
      </c>
      <c r="BH182" s="40" t="s">
        <v>1416</v>
      </c>
      <c r="BI182" s="40">
        <v>0</v>
      </c>
    </row>
    <row r="183" spans="1:61" x14ac:dyDescent="0.25">
      <c r="A183" s="6">
        <v>182</v>
      </c>
      <c r="B183" s="6" t="s">
        <v>1617</v>
      </c>
      <c r="C183" s="6" t="s">
        <v>1617</v>
      </c>
      <c r="D183" s="6" t="s">
        <v>1618</v>
      </c>
      <c r="E183" s="6" t="s">
        <v>704</v>
      </c>
      <c r="F183" s="17">
        <v>45066.895293414353</v>
      </c>
      <c r="G183" s="21">
        <v>2</v>
      </c>
      <c r="H183" s="4">
        <f t="shared" si="10"/>
        <v>45066.978626747688</v>
      </c>
      <c r="I183" s="3">
        <v>25</v>
      </c>
      <c r="J183" s="3">
        <v>15985.39</v>
      </c>
      <c r="K183" s="3">
        <f t="shared" si="13"/>
        <v>7.6342224382200039E-4</v>
      </c>
      <c r="L183" s="3">
        <v>21.19</v>
      </c>
      <c r="M183" s="3">
        <v>37.200000000000003</v>
      </c>
      <c r="N183" s="3" t="s">
        <v>1334</v>
      </c>
      <c r="O183" s="3">
        <v>47.584083</v>
      </c>
      <c r="P183" s="3">
        <v>17.505913</v>
      </c>
      <c r="Q183" s="3">
        <v>32419.55</v>
      </c>
      <c r="R183" s="3">
        <f>Q183</f>
        <v>32419.55</v>
      </c>
      <c r="S183" s="3">
        <v>5000</v>
      </c>
      <c r="T183" s="3">
        <f>M183</f>
        <v>37.200000000000003</v>
      </c>
      <c r="U183" s="3">
        <f>R183</f>
        <v>32419.55</v>
      </c>
      <c r="V183" s="3" t="s">
        <v>144</v>
      </c>
      <c r="W183" s="3" t="s">
        <v>382</v>
      </c>
      <c r="X183" s="3">
        <v>0</v>
      </c>
      <c r="Y183" s="3">
        <v>60000</v>
      </c>
      <c r="Z183" s="3">
        <v>60000</v>
      </c>
      <c r="AA183" s="5">
        <v>500</v>
      </c>
      <c r="AB183" s="5">
        <v>0.46200000000000002</v>
      </c>
      <c r="AC183" s="5">
        <v>0.35699999999999998</v>
      </c>
      <c r="AD183" s="5">
        <v>5.0000000000000001E-3</v>
      </c>
      <c r="AE183" s="5">
        <v>5.0000000000000001E-3</v>
      </c>
      <c r="AF183" s="5">
        <v>500</v>
      </c>
      <c r="AG183" s="5">
        <v>-1</v>
      </c>
      <c r="AH183" s="5">
        <v>1</v>
      </c>
      <c r="AI183" s="45">
        <v>0</v>
      </c>
      <c r="AJ183" s="45">
        <v>0</v>
      </c>
      <c r="AK183" s="45">
        <v>0</v>
      </c>
      <c r="AL183" s="23">
        <v>0</v>
      </c>
      <c r="AM183" s="23">
        <v>0</v>
      </c>
      <c r="AN183" s="23">
        <v>0</v>
      </c>
      <c r="AO183" s="23">
        <v>0</v>
      </c>
      <c r="AP183" s="23">
        <v>0</v>
      </c>
      <c r="AQ183" s="23">
        <v>0</v>
      </c>
      <c r="AR183" s="25">
        <v>0</v>
      </c>
      <c r="AS183" s="54">
        <v>0</v>
      </c>
      <c r="AT183" s="52">
        <v>0</v>
      </c>
      <c r="AU183" s="52">
        <v>0</v>
      </c>
      <c r="AV183" s="52">
        <v>0</v>
      </c>
      <c r="AW183" s="38">
        <v>0</v>
      </c>
      <c r="AX183" s="38">
        <v>0</v>
      </c>
      <c r="AY183" s="38">
        <v>0</v>
      </c>
      <c r="AZ183" s="38">
        <v>141</v>
      </c>
      <c r="BA183" s="38">
        <v>0</v>
      </c>
      <c r="BB183" s="38">
        <v>0</v>
      </c>
      <c r="BC183" s="38">
        <v>0</v>
      </c>
      <c r="BD183" s="38">
        <v>0</v>
      </c>
      <c r="BE183" s="38">
        <v>0</v>
      </c>
      <c r="BF183" s="38">
        <v>0</v>
      </c>
      <c r="BG183" s="40">
        <v>3</v>
      </c>
      <c r="BH183" s="40" t="s">
        <v>1416</v>
      </c>
      <c r="BI183" s="40">
        <v>0</v>
      </c>
    </row>
    <row r="184" spans="1:61" x14ac:dyDescent="0.25">
      <c r="A184" s="6">
        <v>183</v>
      </c>
      <c r="B184" s="6" t="s">
        <v>1620</v>
      </c>
      <c r="C184" s="6" t="s">
        <v>1619</v>
      </c>
      <c r="D184" s="6" t="s">
        <v>1447</v>
      </c>
      <c r="E184" s="6" t="s">
        <v>100</v>
      </c>
      <c r="F184" s="17">
        <v>45066.473877314813</v>
      </c>
      <c r="G184" s="21">
        <v>10</v>
      </c>
      <c r="H184" s="4">
        <f t="shared" si="10"/>
        <v>45066.890543981477</v>
      </c>
      <c r="I184" s="3">
        <v>77318</v>
      </c>
      <c r="J184" s="3">
        <v>27920</v>
      </c>
      <c r="K184" s="3">
        <f t="shared" si="13"/>
        <v>7.2026078149139581</v>
      </c>
      <c r="L184" s="3">
        <v>280.89999999999998</v>
      </c>
      <c r="M184" s="3">
        <v>50.3</v>
      </c>
      <c r="N184" s="3" t="s">
        <v>1270</v>
      </c>
      <c r="O184" s="3">
        <v>-17.844999999999999</v>
      </c>
      <c r="P184" s="3">
        <v>141.9</v>
      </c>
      <c r="Q184" s="3">
        <v>29000</v>
      </c>
      <c r="R184" s="3">
        <v>29000</v>
      </c>
      <c r="S184" s="3">
        <v>5000</v>
      </c>
      <c r="T184" s="3">
        <f>M184</f>
        <v>50.3</v>
      </c>
      <c r="U184" s="3">
        <v>28500</v>
      </c>
      <c r="V184" s="3" t="s">
        <v>144</v>
      </c>
      <c r="W184" s="3" t="s">
        <v>382</v>
      </c>
      <c r="X184" s="3">
        <v>0</v>
      </c>
      <c r="Y184" s="3">
        <v>60000</v>
      </c>
      <c r="Z184" s="3">
        <v>60000</v>
      </c>
      <c r="AA184" s="5">
        <v>500</v>
      </c>
      <c r="AB184" s="5">
        <v>2</v>
      </c>
      <c r="AC184" s="5">
        <v>2</v>
      </c>
      <c r="AD184" s="5">
        <v>4.8999999999999998E-3</v>
      </c>
      <c r="AE184" s="5">
        <v>0.05</v>
      </c>
      <c r="AF184" s="5">
        <v>500</v>
      </c>
      <c r="AG184" s="5">
        <v>-1</v>
      </c>
      <c r="AH184" s="5">
        <v>1</v>
      </c>
      <c r="AI184" s="45">
        <v>0</v>
      </c>
      <c r="AJ184" s="45">
        <v>0</v>
      </c>
      <c r="AK184" s="45">
        <v>0</v>
      </c>
      <c r="AL184" s="23">
        <v>0</v>
      </c>
      <c r="AM184" s="23">
        <v>0</v>
      </c>
      <c r="AN184" s="23">
        <v>0</v>
      </c>
      <c r="AO184" s="23">
        <v>0</v>
      </c>
      <c r="AP184" s="23">
        <v>0</v>
      </c>
      <c r="AQ184" s="23">
        <v>0</v>
      </c>
      <c r="AR184" s="25">
        <v>0</v>
      </c>
      <c r="AS184" s="54">
        <v>0</v>
      </c>
      <c r="AT184" s="52">
        <v>0</v>
      </c>
      <c r="AU184" s="52">
        <v>0</v>
      </c>
      <c r="AV184" s="52">
        <v>0</v>
      </c>
      <c r="AW184" s="38">
        <v>0</v>
      </c>
      <c r="AX184" s="38">
        <v>0</v>
      </c>
      <c r="AY184" s="38">
        <v>0</v>
      </c>
      <c r="AZ184" s="38">
        <v>4</v>
      </c>
      <c r="BA184" s="38">
        <v>0</v>
      </c>
      <c r="BB184" s="38">
        <v>0</v>
      </c>
      <c r="BC184" s="38">
        <v>0</v>
      </c>
      <c r="BD184" s="38">
        <v>0</v>
      </c>
      <c r="BE184" s="38">
        <v>0</v>
      </c>
      <c r="BF184" s="38">
        <v>0</v>
      </c>
      <c r="BG184" s="40">
        <v>2</v>
      </c>
      <c r="BH184" s="40" t="s">
        <v>1416</v>
      </c>
      <c r="BI184" s="40">
        <v>0</v>
      </c>
    </row>
    <row r="185" spans="1:61" x14ac:dyDescent="0.25">
      <c r="A185" s="6">
        <v>184</v>
      </c>
      <c r="B185" s="6" t="s">
        <v>1623</v>
      </c>
      <c r="C185" s="6" t="s">
        <v>1622</v>
      </c>
      <c r="D185" s="6" t="s">
        <v>1621</v>
      </c>
      <c r="E185" s="6" t="s">
        <v>142</v>
      </c>
      <c r="F185" s="17">
        <v>45103.864710648151</v>
      </c>
      <c r="G185" s="21">
        <v>2</v>
      </c>
      <c r="H185" s="4">
        <f t="shared" si="10"/>
        <v>45103.948043981487</v>
      </c>
      <c r="I185" s="3">
        <v>200</v>
      </c>
      <c r="J185" s="3">
        <v>20920</v>
      </c>
      <c r="K185" s="3">
        <f t="shared" si="13"/>
        <v>1.0460000000000001E-2</v>
      </c>
      <c r="L185" s="3">
        <v>319.3</v>
      </c>
      <c r="M185" s="3">
        <v>60</v>
      </c>
      <c r="N185" s="3" t="s">
        <v>1334</v>
      </c>
      <c r="O185" s="3">
        <v>49.701658000000002</v>
      </c>
      <c r="P185" s="3">
        <v>10.695015</v>
      </c>
      <c r="Q185" s="3">
        <v>34500</v>
      </c>
      <c r="R185" s="3">
        <v>34500</v>
      </c>
      <c r="S185" s="3">
        <v>8000</v>
      </c>
      <c r="T185" s="3">
        <f>M185</f>
        <v>60</v>
      </c>
      <c r="U185" s="3">
        <f>R185</f>
        <v>34500</v>
      </c>
      <c r="V185" s="3" t="s">
        <v>144</v>
      </c>
      <c r="W185" s="3" t="s">
        <v>382</v>
      </c>
      <c r="X185" s="3">
        <v>0</v>
      </c>
      <c r="Y185" s="3">
        <v>60000</v>
      </c>
      <c r="Z185" s="3">
        <v>60000</v>
      </c>
      <c r="AA185" s="5">
        <v>200</v>
      </c>
      <c r="AB185" s="5">
        <v>1</v>
      </c>
      <c r="AC185" s="5">
        <v>2</v>
      </c>
      <c r="AD185" s="5">
        <v>5.0000000000000001E-3</v>
      </c>
      <c r="AE185" s="5">
        <v>0.01</v>
      </c>
      <c r="AF185" s="5">
        <v>500</v>
      </c>
      <c r="AG185" s="5">
        <v>-1</v>
      </c>
      <c r="AH185" s="5">
        <v>1</v>
      </c>
      <c r="AI185" s="45">
        <v>0</v>
      </c>
      <c r="AJ185" s="45">
        <v>0</v>
      </c>
      <c r="AK185" s="45">
        <v>0</v>
      </c>
      <c r="AL185" s="23">
        <v>0</v>
      </c>
      <c r="AM185" s="23">
        <v>0</v>
      </c>
      <c r="AN185" s="23">
        <v>0</v>
      </c>
      <c r="AO185" s="23">
        <v>0</v>
      </c>
      <c r="AP185" s="23">
        <v>0</v>
      </c>
      <c r="AQ185" s="23">
        <v>0</v>
      </c>
      <c r="AR185" s="25">
        <v>0</v>
      </c>
      <c r="AS185" s="54">
        <v>0</v>
      </c>
      <c r="AT185" s="52">
        <v>0</v>
      </c>
      <c r="AU185" s="52">
        <v>0</v>
      </c>
      <c r="AV185" s="52">
        <v>0</v>
      </c>
      <c r="AW185" s="38">
        <v>0</v>
      </c>
      <c r="AX185" s="38">
        <v>0</v>
      </c>
      <c r="AY185" s="38">
        <v>0</v>
      </c>
      <c r="AZ185" s="38">
        <v>0</v>
      </c>
      <c r="BA185" s="38">
        <v>0</v>
      </c>
      <c r="BB185" s="38">
        <v>0</v>
      </c>
      <c r="BC185" s="38">
        <v>0</v>
      </c>
      <c r="BD185" s="38">
        <v>0</v>
      </c>
      <c r="BE185" s="38">
        <v>0</v>
      </c>
      <c r="BF185" s="38">
        <v>0</v>
      </c>
      <c r="BG185" s="40">
        <v>3</v>
      </c>
      <c r="BH185" s="40" t="s">
        <v>1543</v>
      </c>
      <c r="BI185" s="40">
        <v>0</v>
      </c>
    </row>
    <row r="186" spans="1:61" x14ac:dyDescent="0.25">
      <c r="A186" s="6">
        <v>185</v>
      </c>
      <c r="B186" s="6" t="s">
        <v>1624</v>
      </c>
      <c r="C186" s="6" t="s">
        <v>1624</v>
      </c>
      <c r="D186" s="6" t="s">
        <v>1625</v>
      </c>
      <c r="E186" s="6" t="s">
        <v>509</v>
      </c>
      <c r="F186" s="17">
        <v>45118.784571759257</v>
      </c>
      <c r="G186" s="21">
        <v>2</v>
      </c>
      <c r="H186" s="4">
        <f t="shared" si="10"/>
        <v>45118.867905092593</v>
      </c>
      <c r="I186" s="3">
        <v>200</v>
      </c>
      <c r="J186" s="3">
        <v>19000</v>
      </c>
      <c r="K186" s="3">
        <f t="shared" si="13"/>
        <v>8.628107074569789E-3</v>
      </c>
      <c r="L186" s="3">
        <v>140.19999999999999</v>
      </c>
      <c r="M186" s="3">
        <v>32.43</v>
      </c>
      <c r="N186" s="3" t="s">
        <v>1334</v>
      </c>
      <c r="O186" s="3">
        <v>43.459882999999998</v>
      </c>
      <c r="P186" s="3">
        <v>23.543707999999999</v>
      </c>
      <c r="Q186" s="3">
        <v>27292.799999999999</v>
      </c>
      <c r="R186" s="3">
        <f>Q186</f>
        <v>27292.799999999999</v>
      </c>
      <c r="S186" s="3">
        <v>5000</v>
      </c>
      <c r="T186" s="3">
        <f>M186</f>
        <v>32.43</v>
      </c>
      <c r="U186" s="3">
        <v>27292.799999999999</v>
      </c>
      <c r="V186" s="3" t="s">
        <v>144</v>
      </c>
      <c r="W186" s="3" t="s">
        <v>382</v>
      </c>
      <c r="X186" s="3">
        <v>0</v>
      </c>
      <c r="Y186" s="3">
        <v>60000</v>
      </c>
      <c r="Z186" s="3">
        <v>60000</v>
      </c>
      <c r="AA186" s="5">
        <v>900</v>
      </c>
      <c r="AB186" s="5">
        <v>0.91200000000000003</v>
      </c>
      <c r="AC186" s="5">
        <v>0.35599999999999998</v>
      </c>
      <c r="AD186" s="5">
        <v>1.5E-3</v>
      </c>
      <c r="AE186" s="5">
        <v>8.9999999999999993E-3</v>
      </c>
      <c r="AF186" s="5">
        <v>100</v>
      </c>
      <c r="AG186" s="5">
        <v>-1</v>
      </c>
      <c r="AH186" s="5">
        <v>1</v>
      </c>
      <c r="AI186" s="45">
        <v>0</v>
      </c>
      <c r="AJ186" s="45">
        <v>0</v>
      </c>
      <c r="AK186" s="45">
        <v>0</v>
      </c>
      <c r="AL186" s="23">
        <v>0</v>
      </c>
      <c r="AM186" s="23">
        <v>0</v>
      </c>
      <c r="AN186" s="23">
        <v>0</v>
      </c>
      <c r="AO186" s="23">
        <v>0</v>
      </c>
      <c r="AP186" s="23">
        <v>0</v>
      </c>
      <c r="AQ186" s="23">
        <v>0</v>
      </c>
      <c r="AR186" s="25">
        <v>0</v>
      </c>
      <c r="AS186" s="54">
        <v>0</v>
      </c>
      <c r="AT186" s="52">
        <v>0</v>
      </c>
      <c r="AU186" s="52">
        <v>0</v>
      </c>
      <c r="AV186" s="52">
        <v>0</v>
      </c>
      <c r="AW186" s="38">
        <v>0</v>
      </c>
      <c r="AX186" s="38">
        <v>0</v>
      </c>
      <c r="AY186" s="38">
        <v>0</v>
      </c>
      <c r="AZ186" s="38">
        <v>0</v>
      </c>
      <c r="BA186" s="38">
        <v>0</v>
      </c>
      <c r="BB186" s="38">
        <v>0</v>
      </c>
      <c r="BC186" s="38">
        <v>142</v>
      </c>
      <c r="BD186" s="38">
        <v>0</v>
      </c>
      <c r="BE186" s="38">
        <v>0</v>
      </c>
      <c r="BF186" s="38">
        <v>0</v>
      </c>
      <c r="BG186" s="40">
        <v>3</v>
      </c>
      <c r="BH186" s="40" t="s">
        <v>1487</v>
      </c>
      <c r="BI186" s="40">
        <v>0</v>
      </c>
    </row>
    <row r="187" spans="1:61" x14ac:dyDescent="0.25">
      <c r="A187" s="6">
        <v>186</v>
      </c>
      <c r="B187" s="6" t="s">
        <v>1630</v>
      </c>
      <c r="C187" s="6" t="s">
        <v>1631</v>
      </c>
      <c r="D187" s="6" t="s">
        <v>1632</v>
      </c>
      <c r="E187" s="6" t="s">
        <v>829</v>
      </c>
      <c r="F187" s="17">
        <v>45133.154097222221</v>
      </c>
      <c r="G187" s="21">
        <v>-7</v>
      </c>
      <c r="H187" s="4">
        <f t="shared" si="10"/>
        <v>45132.862430555557</v>
      </c>
      <c r="I187" s="3">
        <v>15170</v>
      </c>
      <c r="J187" s="3">
        <v>15580</v>
      </c>
      <c r="K187" s="3">
        <f t="shared" si="13"/>
        <v>0.44004674808795408</v>
      </c>
      <c r="L187" s="3">
        <v>292.2</v>
      </c>
      <c r="M187" s="3">
        <v>56.8</v>
      </c>
      <c r="N187" s="3" t="s">
        <v>1270</v>
      </c>
      <c r="O187" s="3">
        <v>18.899999999999999</v>
      </c>
      <c r="P187" s="3">
        <v>-103.4</v>
      </c>
      <c r="Q187" s="3">
        <v>36100</v>
      </c>
      <c r="R187" s="3">
        <v>36100</v>
      </c>
      <c r="S187" s="3">
        <v>15580</v>
      </c>
      <c r="T187" s="3">
        <f>M187</f>
        <v>56.8</v>
      </c>
      <c r="U187" s="3">
        <v>12000</v>
      </c>
      <c r="V187" s="3" t="s">
        <v>144</v>
      </c>
      <c r="W187" s="3" t="s">
        <v>382</v>
      </c>
      <c r="X187" s="3">
        <v>0</v>
      </c>
      <c r="Y187" s="3">
        <v>60000</v>
      </c>
      <c r="Z187" s="3">
        <v>60000</v>
      </c>
      <c r="AA187" s="5">
        <v>500</v>
      </c>
      <c r="AB187" s="5">
        <v>0.5</v>
      </c>
      <c r="AC187" s="5">
        <v>0.5</v>
      </c>
      <c r="AD187" s="5">
        <v>0.05</v>
      </c>
      <c r="AE187" s="5">
        <v>0.05</v>
      </c>
      <c r="AF187" s="5">
        <v>500</v>
      </c>
      <c r="AG187" s="5">
        <v>-1</v>
      </c>
      <c r="AH187" s="5">
        <v>1</v>
      </c>
      <c r="AI187" s="45">
        <v>0</v>
      </c>
      <c r="AJ187" s="45">
        <v>0</v>
      </c>
      <c r="AK187" s="45">
        <v>0</v>
      </c>
      <c r="AL187" s="23">
        <v>0</v>
      </c>
      <c r="AM187" s="23">
        <v>0</v>
      </c>
      <c r="AN187" s="23">
        <v>0</v>
      </c>
      <c r="AO187" s="23">
        <v>0</v>
      </c>
      <c r="AP187" s="23">
        <v>0</v>
      </c>
      <c r="AQ187" s="23">
        <v>0</v>
      </c>
      <c r="AR187" s="25">
        <v>0</v>
      </c>
      <c r="AS187" s="54">
        <v>0</v>
      </c>
      <c r="AT187" s="52">
        <v>0</v>
      </c>
      <c r="AU187" s="52">
        <v>0</v>
      </c>
      <c r="AV187" s="52">
        <v>0</v>
      </c>
      <c r="AW187" s="38">
        <v>0</v>
      </c>
      <c r="AX187" s="38">
        <v>4</v>
      </c>
      <c r="AY187" s="38">
        <v>0</v>
      </c>
      <c r="AZ187" s="38">
        <v>0</v>
      </c>
      <c r="BA187" s="38">
        <v>0</v>
      </c>
      <c r="BB187" s="38">
        <v>0</v>
      </c>
      <c r="BC187" s="38">
        <v>4</v>
      </c>
      <c r="BD187" s="38">
        <v>0</v>
      </c>
      <c r="BE187" s="38">
        <v>0</v>
      </c>
      <c r="BF187" s="38">
        <v>0</v>
      </c>
      <c r="BG187" s="40">
        <v>2</v>
      </c>
      <c r="BH187" s="40" t="s">
        <v>1416</v>
      </c>
      <c r="BI187" s="40">
        <v>0</v>
      </c>
    </row>
    <row r="188" spans="1:61" x14ac:dyDescent="0.25">
      <c r="A188" s="6">
        <v>187</v>
      </c>
      <c r="B188" s="6" t="s">
        <v>1629</v>
      </c>
      <c r="C188" s="6" t="s">
        <v>1629</v>
      </c>
      <c r="D188" s="6" t="s">
        <v>1406</v>
      </c>
      <c r="E188" s="6" t="s">
        <v>4</v>
      </c>
      <c r="F188" s="17">
        <v>45140.259212962963</v>
      </c>
      <c r="G188" s="21">
        <v>-4</v>
      </c>
      <c r="H188" s="4">
        <f t="shared" si="10"/>
        <v>45140.092546296299</v>
      </c>
      <c r="I188" s="3">
        <v>35</v>
      </c>
      <c r="J188" s="3">
        <v>22770</v>
      </c>
      <c r="K188" s="3">
        <f t="shared" si="13"/>
        <v>2.1685649498087954E-3</v>
      </c>
      <c r="L188" s="3">
        <v>149</v>
      </c>
      <c r="M188" s="3">
        <v>74</v>
      </c>
      <c r="N188" s="3" t="s">
        <v>1334</v>
      </c>
      <c r="O188" s="3">
        <v>36.668284999999997</v>
      </c>
      <c r="P188" s="3">
        <v>-82.717695000000006</v>
      </c>
      <c r="Q188" s="3">
        <v>26975</v>
      </c>
      <c r="R188" s="3">
        <f>Q188+1000</f>
        <v>27975</v>
      </c>
      <c r="S188" s="3">
        <v>5000</v>
      </c>
      <c r="T188" s="3">
        <v>68</v>
      </c>
      <c r="U188" s="3">
        <f>Q188</f>
        <v>26975</v>
      </c>
      <c r="V188" s="3" t="s">
        <v>144</v>
      </c>
      <c r="W188" s="3" t="s">
        <v>382</v>
      </c>
      <c r="X188" s="3">
        <v>0</v>
      </c>
      <c r="Y188" s="3">
        <v>60000</v>
      </c>
      <c r="Z188" s="3">
        <v>60000</v>
      </c>
      <c r="AA188" s="5">
        <v>1000</v>
      </c>
      <c r="AB188" s="5">
        <v>3</v>
      </c>
      <c r="AC188" s="5">
        <v>4</v>
      </c>
      <c r="AD188" s="5">
        <v>2.6700000000000002E-2</v>
      </c>
      <c r="AE188" s="5">
        <v>3.6499999999999998E-2</v>
      </c>
      <c r="AF188" s="5">
        <v>2675</v>
      </c>
      <c r="AG188" s="5">
        <v>-1</v>
      </c>
      <c r="AH188" s="5">
        <v>1</v>
      </c>
      <c r="AI188" s="45">
        <v>0</v>
      </c>
      <c r="AJ188" s="45">
        <v>0</v>
      </c>
      <c r="AK188" s="45">
        <v>0</v>
      </c>
      <c r="AL188" s="23">
        <v>0</v>
      </c>
      <c r="AM188" s="23">
        <v>0</v>
      </c>
      <c r="AN188" s="23">
        <v>0</v>
      </c>
      <c r="AO188" s="23">
        <v>0</v>
      </c>
      <c r="AP188" s="23">
        <v>0</v>
      </c>
      <c r="AQ188" s="23">
        <v>0</v>
      </c>
      <c r="AR188" s="25">
        <v>0</v>
      </c>
      <c r="AS188" s="54">
        <v>0</v>
      </c>
      <c r="AT188" s="52">
        <v>0</v>
      </c>
      <c r="AU188" s="52">
        <v>0</v>
      </c>
      <c r="AV188" s="52">
        <v>0</v>
      </c>
      <c r="AW188" s="38">
        <v>0</v>
      </c>
      <c r="AX188" s="38">
        <v>0</v>
      </c>
      <c r="AY188" s="38">
        <v>0</v>
      </c>
      <c r="AZ188" s="38">
        <v>0</v>
      </c>
      <c r="BA188" s="38">
        <v>0</v>
      </c>
      <c r="BB188" s="38">
        <v>0</v>
      </c>
      <c r="BC188" s="38">
        <v>0</v>
      </c>
      <c r="BD188" s="38">
        <v>0</v>
      </c>
      <c r="BE188" s="38">
        <v>0</v>
      </c>
      <c r="BF188" s="38">
        <v>0</v>
      </c>
      <c r="BG188" s="40">
        <v>3</v>
      </c>
      <c r="BH188" s="40" t="s">
        <v>1416</v>
      </c>
      <c r="BI188" s="40">
        <v>0</v>
      </c>
    </row>
    <row r="189" spans="1:61" x14ac:dyDescent="0.25">
      <c r="A189" s="6">
        <v>188</v>
      </c>
      <c r="B189" s="6" t="s">
        <v>1641</v>
      </c>
      <c r="C189" s="6" t="s">
        <v>1642</v>
      </c>
      <c r="D189" s="6" t="s">
        <v>1638</v>
      </c>
      <c r="E189" s="6" t="s">
        <v>631</v>
      </c>
      <c r="F189" s="17">
        <v>45178.926215277781</v>
      </c>
      <c r="G189" s="21">
        <v>2</v>
      </c>
      <c r="H189" s="4">
        <f t="shared" si="10"/>
        <v>45179.009548611117</v>
      </c>
      <c r="I189" s="3">
        <v>10</v>
      </c>
      <c r="J189" s="3">
        <v>17000</v>
      </c>
      <c r="K189" s="3">
        <f t="shared" si="13"/>
        <v>3.4536328871892925E-4</v>
      </c>
      <c r="L189" s="3">
        <v>2.0994999999999999</v>
      </c>
      <c r="M189" s="3">
        <v>53.131300000000003</v>
      </c>
      <c r="N189" s="3" t="s">
        <v>1334</v>
      </c>
      <c r="O189" s="3">
        <v>47.375329000000001</v>
      </c>
      <c r="P189" s="3">
        <v>2.28199</v>
      </c>
      <c r="Q189" s="3">
        <v>22060.02</v>
      </c>
      <c r="R189" s="3">
        <f t="shared" ref="R189:R196" si="14">Q189</f>
        <v>22060.02</v>
      </c>
      <c r="S189" s="3">
        <v>3500</v>
      </c>
      <c r="T189" s="3">
        <f t="shared" ref="T189:T196" si="15">M189</f>
        <v>53.131300000000003</v>
      </c>
      <c r="U189" s="3">
        <f>R189</f>
        <v>22060.02</v>
      </c>
      <c r="V189" s="3" t="s">
        <v>81</v>
      </c>
      <c r="W189" s="3" t="s">
        <v>382</v>
      </c>
      <c r="X189" s="3">
        <v>0</v>
      </c>
      <c r="Y189" s="3">
        <v>60000</v>
      </c>
      <c r="Z189" s="3">
        <v>60000</v>
      </c>
      <c r="AA189" s="5">
        <v>1200</v>
      </c>
      <c r="AB189" s="5">
        <v>2.0994999999999999</v>
      </c>
      <c r="AC189" s="5">
        <v>0.16</v>
      </c>
      <c r="AD189" s="5">
        <v>6.9999999999999999E-4</v>
      </c>
      <c r="AE189" s="5">
        <v>4.0000000000000002E-4</v>
      </c>
      <c r="AF189" s="5">
        <v>34.36</v>
      </c>
      <c r="AG189" s="5">
        <v>-1</v>
      </c>
      <c r="AH189" s="5">
        <v>1</v>
      </c>
      <c r="AI189" s="45">
        <v>0</v>
      </c>
      <c r="AJ189" s="45">
        <v>0</v>
      </c>
      <c r="AK189" s="45">
        <v>0</v>
      </c>
      <c r="AL189" s="23">
        <v>0</v>
      </c>
      <c r="AM189" s="23">
        <v>0</v>
      </c>
      <c r="AN189" s="23">
        <v>0</v>
      </c>
      <c r="AO189" s="23">
        <v>0</v>
      </c>
      <c r="AP189" s="23">
        <v>0</v>
      </c>
      <c r="AQ189" s="23">
        <v>0</v>
      </c>
      <c r="AR189" s="25">
        <v>0</v>
      </c>
      <c r="AS189" s="54">
        <v>0</v>
      </c>
      <c r="AT189" s="52">
        <v>0</v>
      </c>
      <c r="AU189" s="52">
        <v>0</v>
      </c>
      <c r="AV189" s="52">
        <v>0</v>
      </c>
      <c r="AW189" s="38">
        <v>0</v>
      </c>
      <c r="AX189" s="38">
        <v>143</v>
      </c>
      <c r="AY189" s="38">
        <v>0</v>
      </c>
      <c r="AZ189" s="38">
        <v>0</v>
      </c>
      <c r="BA189" s="38">
        <v>0</v>
      </c>
      <c r="BB189" s="38">
        <v>0</v>
      </c>
      <c r="BC189" s="38">
        <v>144</v>
      </c>
      <c r="BD189" s="38">
        <v>0</v>
      </c>
      <c r="BE189" s="38">
        <v>0</v>
      </c>
      <c r="BF189" s="38">
        <v>0</v>
      </c>
      <c r="BG189" s="40">
        <v>3</v>
      </c>
      <c r="BH189" s="40" t="s">
        <v>1639</v>
      </c>
      <c r="BI189" s="40">
        <v>0</v>
      </c>
    </row>
    <row r="190" spans="1:61" x14ac:dyDescent="0.25">
      <c r="A190" s="6">
        <v>189</v>
      </c>
      <c r="B190" s="6" t="s">
        <v>1815</v>
      </c>
      <c r="C190" s="6" t="s">
        <v>1816</v>
      </c>
      <c r="D190" s="6" t="s">
        <v>1817</v>
      </c>
      <c r="E190" s="6" t="s">
        <v>704</v>
      </c>
      <c r="F190" s="17">
        <v>45196.097491412038</v>
      </c>
      <c r="G190" s="21">
        <v>2</v>
      </c>
      <c r="H190" s="4">
        <f t="shared" si="10"/>
        <v>45196.180824745374</v>
      </c>
      <c r="I190" s="3">
        <v>10</v>
      </c>
      <c r="J190" s="3">
        <v>16956</v>
      </c>
      <c r="K190" s="3">
        <f t="shared" si="13"/>
        <v>3.4357783938814533E-4</v>
      </c>
      <c r="L190" s="3">
        <v>149.16</v>
      </c>
      <c r="M190" s="3">
        <v>36.557000000000002</v>
      </c>
      <c r="N190" s="3" t="s">
        <v>1334</v>
      </c>
      <c r="O190" s="3">
        <v>47.902779000000002</v>
      </c>
      <c r="P190" s="3">
        <v>19.94566</v>
      </c>
      <c r="Q190" s="3">
        <v>28118.03</v>
      </c>
      <c r="R190" s="3">
        <f t="shared" si="14"/>
        <v>28118.03</v>
      </c>
      <c r="S190" s="3">
        <v>2500</v>
      </c>
      <c r="T190" s="3">
        <f t="shared" si="15"/>
        <v>36.557000000000002</v>
      </c>
      <c r="U190" s="3">
        <f>Q190</f>
        <v>28118.03</v>
      </c>
      <c r="V190" s="3" t="s">
        <v>111</v>
      </c>
      <c r="W190" s="3" t="s">
        <v>382</v>
      </c>
      <c r="X190" s="3">
        <v>0</v>
      </c>
      <c r="Y190" s="3">
        <v>60000</v>
      </c>
      <c r="Z190" s="3">
        <v>60000</v>
      </c>
      <c r="AA190" s="5">
        <v>5</v>
      </c>
      <c r="AB190" s="5">
        <v>4.4999999999999998E-2</v>
      </c>
      <c r="AC190" s="5">
        <v>2.5999999999999999E-2</v>
      </c>
      <c r="AD190" s="5">
        <v>5.0000000000000001E-4</v>
      </c>
      <c r="AE190" s="5">
        <v>5.0000000000000001E-4</v>
      </c>
      <c r="AF190" s="5">
        <v>10</v>
      </c>
      <c r="AG190" s="5">
        <v>-1</v>
      </c>
      <c r="AH190" s="5">
        <v>1</v>
      </c>
      <c r="AI190" s="45">
        <v>0</v>
      </c>
      <c r="AJ190" s="45">
        <v>0</v>
      </c>
      <c r="AK190" s="45">
        <v>0</v>
      </c>
      <c r="AL190" s="23">
        <v>0</v>
      </c>
      <c r="AM190" s="23">
        <v>0</v>
      </c>
      <c r="AN190" s="23">
        <v>0</v>
      </c>
      <c r="AO190" s="23">
        <v>0</v>
      </c>
      <c r="AP190" s="23">
        <v>0</v>
      </c>
      <c r="AQ190" s="23">
        <v>0</v>
      </c>
      <c r="AR190" s="25">
        <v>0</v>
      </c>
      <c r="AS190" s="54">
        <v>0</v>
      </c>
      <c r="AT190" s="52">
        <v>0</v>
      </c>
      <c r="AU190" s="52">
        <v>0</v>
      </c>
      <c r="AV190" s="52">
        <v>0</v>
      </c>
      <c r="AW190" s="38">
        <v>0</v>
      </c>
      <c r="AX190" s="38">
        <v>142</v>
      </c>
      <c r="AY190" s="38">
        <v>0</v>
      </c>
      <c r="AZ190" s="38">
        <v>0</v>
      </c>
      <c r="BA190" s="38">
        <v>0</v>
      </c>
      <c r="BB190" s="38">
        <v>0</v>
      </c>
      <c r="BC190" s="38">
        <v>142</v>
      </c>
      <c r="BD190" s="38">
        <v>0</v>
      </c>
      <c r="BE190" s="38">
        <v>0</v>
      </c>
      <c r="BF190" s="38">
        <v>0</v>
      </c>
      <c r="BG190" s="40">
        <v>3</v>
      </c>
      <c r="BH190" s="40" t="s">
        <v>1487</v>
      </c>
      <c r="BI190" s="40">
        <v>0</v>
      </c>
    </row>
    <row r="191" spans="1:61" x14ac:dyDescent="0.25">
      <c r="A191" s="6">
        <v>190</v>
      </c>
      <c r="B191" s="6" t="s">
        <v>1818</v>
      </c>
      <c r="C191" s="6" t="s">
        <v>1818</v>
      </c>
      <c r="D191" s="6" t="s">
        <v>1536</v>
      </c>
      <c r="E191" s="6" t="s">
        <v>631</v>
      </c>
      <c r="F191" s="17">
        <v>45009.928900462961</v>
      </c>
      <c r="G191" s="21">
        <v>2</v>
      </c>
      <c r="H191" s="4">
        <f t="shared" si="10"/>
        <v>45010.012233796297</v>
      </c>
      <c r="I191" s="3">
        <v>5</v>
      </c>
      <c r="J191" s="3">
        <v>13800</v>
      </c>
      <c r="K191" s="3">
        <f t="shared" si="13"/>
        <v>1.137906309751434E-4</v>
      </c>
      <c r="L191" s="3">
        <v>54.782499999999999</v>
      </c>
      <c r="M191" s="3">
        <v>64.163600000000002</v>
      </c>
      <c r="N191" s="3" t="s">
        <v>1334</v>
      </c>
      <c r="O191" s="3">
        <v>44.389699999999998</v>
      </c>
      <c r="P191" s="3">
        <v>-0.71233299999999999</v>
      </c>
      <c r="Q191" s="3">
        <v>27500</v>
      </c>
      <c r="R191" s="3">
        <f t="shared" si="14"/>
        <v>27500</v>
      </c>
      <c r="S191" s="3">
        <v>4100</v>
      </c>
      <c r="T191" s="3">
        <f t="shared" si="15"/>
        <v>64.163600000000002</v>
      </c>
      <c r="U191" s="3">
        <f>Q191</f>
        <v>27500</v>
      </c>
      <c r="V191" s="3" t="s">
        <v>144</v>
      </c>
      <c r="W191" s="3" t="s">
        <v>382</v>
      </c>
      <c r="X191" s="3">
        <v>0</v>
      </c>
      <c r="Y191" s="3">
        <v>60000</v>
      </c>
      <c r="Z191" s="3">
        <v>60000</v>
      </c>
      <c r="AA191" s="5">
        <v>500</v>
      </c>
      <c r="AB191" s="5">
        <v>0.1</v>
      </c>
      <c r="AC191" s="5">
        <v>0.1</v>
      </c>
      <c r="AD191" s="5">
        <v>5.0000000000000001E-4</v>
      </c>
      <c r="AE191" s="5">
        <v>5.0000000000000001E-4</v>
      </c>
      <c r="AF191" s="5">
        <v>10</v>
      </c>
      <c r="AG191" s="5">
        <v>-1</v>
      </c>
      <c r="AH191" s="5">
        <v>1</v>
      </c>
      <c r="AI191" s="45">
        <v>0</v>
      </c>
      <c r="AJ191" s="45">
        <v>0</v>
      </c>
      <c r="AK191" s="45">
        <v>0</v>
      </c>
      <c r="AL191" s="23">
        <v>0</v>
      </c>
      <c r="AM191" s="23">
        <v>0</v>
      </c>
      <c r="AN191" s="23">
        <v>0</v>
      </c>
      <c r="AO191" s="23">
        <v>0</v>
      </c>
      <c r="AP191" s="23">
        <v>0</v>
      </c>
      <c r="AQ191" s="23">
        <v>0</v>
      </c>
      <c r="AR191" s="25">
        <v>0</v>
      </c>
      <c r="AS191" s="54">
        <v>0</v>
      </c>
      <c r="AT191" s="52">
        <v>0</v>
      </c>
      <c r="AU191" s="52">
        <v>0</v>
      </c>
      <c r="AV191" s="52">
        <v>0</v>
      </c>
      <c r="AW191" s="38">
        <v>0</v>
      </c>
      <c r="AX191" s="38">
        <v>144</v>
      </c>
      <c r="AY191" s="38">
        <v>0</v>
      </c>
      <c r="AZ191" s="38">
        <v>0</v>
      </c>
      <c r="BA191" s="38">
        <v>0</v>
      </c>
      <c r="BB191" s="38">
        <v>0</v>
      </c>
      <c r="BC191" s="38">
        <v>144</v>
      </c>
      <c r="BD191" s="38">
        <v>0</v>
      </c>
      <c r="BE191" s="38">
        <v>0</v>
      </c>
      <c r="BF191" s="38">
        <v>0</v>
      </c>
      <c r="BG191" s="40">
        <v>3</v>
      </c>
      <c r="BH191" s="40" t="s">
        <v>1416</v>
      </c>
      <c r="BI191" s="40">
        <v>0</v>
      </c>
    </row>
    <row r="192" spans="1:61" x14ac:dyDescent="0.25">
      <c r="A192" s="6">
        <v>191</v>
      </c>
      <c r="B192" s="6" t="s">
        <v>1824</v>
      </c>
      <c r="C192" s="6" t="s">
        <v>1819</v>
      </c>
      <c r="D192" s="6" t="s">
        <v>1820</v>
      </c>
      <c r="E192" s="6" t="s">
        <v>4</v>
      </c>
      <c r="F192" s="17">
        <v>45206.158368055556</v>
      </c>
      <c r="G192" s="21">
        <v>-6</v>
      </c>
      <c r="H192" s="4">
        <f t="shared" si="10"/>
        <v>45205.908368055556</v>
      </c>
      <c r="I192" s="3">
        <v>50</v>
      </c>
      <c r="J192" s="3">
        <v>12530</v>
      </c>
      <c r="K192" s="3">
        <f t="shared" si="13"/>
        <v>9.381028919694072E-4</v>
      </c>
      <c r="L192" s="3">
        <v>65.900000000000006</v>
      </c>
      <c r="M192" s="3">
        <v>74.14</v>
      </c>
      <c r="N192" s="3" t="s">
        <v>1334</v>
      </c>
      <c r="O192" s="3">
        <v>42.9636</v>
      </c>
      <c r="P192" s="3">
        <v>-115.6296</v>
      </c>
      <c r="Q192" s="3">
        <v>30000</v>
      </c>
      <c r="R192" s="3">
        <f t="shared" si="14"/>
        <v>30000</v>
      </c>
      <c r="S192" s="3">
        <v>4000</v>
      </c>
      <c r="T192" s="3">
        <f t="shared" si="15"/>
        <v>74.14</v>
      </c>
      <c r="U192" s="3">
        <v>28000</v>
      </c>
      <c r="V192" s="3" t="s">
        <v>144</v>
      </c>
      <c r="W192" s="3" t="s">
        <v>382</v>
      </c>
      <c r="X192" s="3">
        <v>0</v>
      </c>
      <c r="Y192" s="3">
        <v>60000</v>
      </c>
      <c r="Z192" s="3">
        <v>60000</v>
      </c>
      <c r="AA192" s="5">
        <v>820</v>
      </c>
      <c r="AB192" s="5">
        <v>7.0000000000000007E-2</v>
      </c>
      <c r="AC192" s="5">
        <v>0.46</v>
      </c>
      <c r="AD192" s="5">
        <v>0</v>
      </c>
      <c r="AE192" s="5">
        <v>0</v>
      </c>
      <c r="AF192" s="5">
        <v>0</v>
      </c>
      <c r="AG192" s="5">
        <v>-1</v>
      </c>
      <c r="AH192" s="5">
        <v>1</v>
      </c>
      <c r="AI192" s="45">
        <v>0</v>
      </c>
      <c r="AJ192" s="45">
        <v>0</v>
      </c>
      <c r="AK192" s="45">
        <v>0</v>
      </c>
      <c r="AL192" s="23">
        <v>0</v>
      </c>
      <c r="AM192" s="23">
        <v>0</v>
      </c>
      <c r="AN192" s="23">
        <v>0</v>
      </c>
      <c r="AO192" s="23">
        <v>0</v>
      </c>
      <c r="AP192" s="23">
        <v>0</v>
      </c>
      <c r="AQ192" s="23">
        <v>0</v>
      </c>
      <c r="AR192" s="25">
        <v>0</v>
      </c>
      <c r="AS192" s="54">
        <v>0</v>
      </c>
      <c r="AT192" s="52">
        <v>0</v>
      </c>
      <c r="AU192" s="52">
        <v>0</v>
      </c>
      <c r="AV192" s="52">
        <v>0</v>
      </c>
      <c r="AW192" s="38">
        <v>0</v>
      </c>
      <c r="AX192" s="38">
        <v>145</v>
      </c>
      <c r="AY192" s="38">
        <v>0</v>
      </c>
      <c r="AZ192" s="38">
        <v>0</v>
      </c>
      <c r="BA192" s="38">
        <v>0</v>
      </c>
      <c r="BB192" s="38">
        <v>0</v>
      </c>
      <c r="BC192" s="38">
        <v>145</v>
      </c>
      <c r="BD192" s="38">
        <v>0</v>
      </c>
      <c r="BE192" s="38">
        <v>0</v>
      </c>
      <c r="BF192" s="38">
        <v>0</v>
      </c>
      <c r="BG192" s="40">
        <v>2</v>
      </c>
      <c r="BH192" s="40" t="s">
        <v>1821</v>
      </c>
      <c r="BI192" s="40">
        <v>0</v>
      </c>
    </row>
    <row r="193" spans="1:61" x14ac:dyDescent="0.25">
      <c r="A193" s="6">
        <v>192</v>
      </c>
      <c r="B193" s="6" t="s">
        <v>1822</v>
      </c>
      <c r="C193" s="6" t="s">
        <v>1819</v>
      </c>
      <c r="D193" s="6" t="s">
        <v>1820</v>
      </c>
      <c r="E193" s="6" t="s">
        <v>4</v>
      </c>
      <c r="F193" s="17">
        <v>45206.158368055556</v>
      </c>
      <c r="G193" s="21">
        <v>-6</v>
      </c>
      <c r="H193" s="4">
        <f t="shared" si="10"/>
        <v>45205.908368055556</v>
      </c>
      <c r="I193" s="3">
        <v>50</v>
      </c>
      <c r="J193" s="3">
        <v>11910</v>
      </c>
      <c r="K193" s="3">
        <v>8.5612392447418739E-4</v>
      </c>
      <c r="L193" s="3">
        <v>64.855000000000004</v>
      </c>
      <c r="M193" s="3">
        <v>76.349999999999994</v>
      </c>
      <c r="N193" s="3" t="s">
        <v>1334</v>
      </c>
      <c r="O193" s="3">
        <v>42.965699999999998</v>
      </c>
      <c r="P193" s="3">
        <v>-115.7359</v>
      </c>
      <c r="Q193" s="3">
        <v>40000</v>
      </c>
      <c r="R193" s="3">
        <f t="shared" si="14"/>
        <v>40000</v>
      </c>
      <c r="S193" s="3">
        <v>4000</v>
      </c>
      <c r="T193" s="3">
        <f t="shared" si="15"/>
        <v>76.349999999999994</v>
      </c>
      <c r="U193" s="3">
        <v>38000</v>
      </c>
      <c r="V193" s="3" t="s">
        <v>144</v>
      </c>
      <c r="W193" s="3" t="s">
        <v>382</v>
      </c>
      <c r="X193" s="3">
        <v>0</v>
      </c>
      <c r="Y193" s="3">
        <v>60000</v>
      </c>
      <c r="Z193" s="3">
        <v>60000</v>
      </c>
      <c r="AA193" s="5">
        <v>790</v>
      </c>
      <c r="AB193" s="5">
        <v>0.14499999999999999</v>
      </c>
      <c r="AC193" s="5">
        <v>0.63</v>
      </c>
      <c r="AD193" s="5">
        <v>0</v>
      </c>
      <c r="AE193" s="5">
        <v>0</v>
      </c>
      <c r="AF193" s="5">
        <v>0</v>
      </c>
      <c r="AG193" s="5">
        <v>-1</v>
      </c>
      <c r="AH193" s="5">
        <v>1</v>
      </c>
      <c r="AI193" s="45">
        <v>0</v>
      </c>
      <c r="AJ193" s="45">
        <v>0</v>
      </c>
      <c r="AK193" s="45">
        <v>0</v>
      </c>
      <c r="AL193" s="23">
        <v>0</v>
      </c>
      <c r="AM193" s="23">
        <v>0</v>
      </c>
      <c r="AN193" s="23">
        <v>0</v>
      </c>
      <c r="AO193" s="23">
        <v>0</v>
      </c>
      <c r="AP193" s="23">
        <v>0</v>
      </c>
      <c r="AQ193" s="23">
        <v>0</v>
      </c>
      <c r="AR193" s="25">
        <v>0</v>
      </c>
      <c r="AS193" s="54">
        <v>0</v>
      </c>
      <c r="AT193" s="52">
        <v>0</v>
      </c>
      <c r="AU193" s="52">
        <v>0</v>
      </c>
      <c r="AV193" s="52">
        <v>0</v>
      </c>
      <c r="AW193" s="38">
        <v>0</v>
      </c>
      <c r="AX193" s="38">
        <v>145</v>
      </c>
      <c r="AY193" s="38">
        <v>0</v>
      </c>
      <c r="AZ193" s="38">
        <v>0</v>
      </c>
      <c r="BA193" s="38">
        <v>0</v>
      </c>
      <c r="BB193" s="38">
        <v>0</v>
      </c>
      <c r="BC193" s="38">
        <v>145</v>
      </c>
      <c r="BD193" s="38">
        <v>0</v>
      </c>
      <c r="BE193" s="38">
        <v>0</v>
      </c>
      <c r="BF193" s="38">
        <v>0</v>
      </c>
      <c r="BG193" s="40">
        <v>2</v>
      </c>
      <c r="BH193" s="40" t="s">
        <v>1821</v>
      </c>
      <c r="BI193" s="40">
        <v>0</v>
      </c>
    </row>
    <row r="194" spans="1:61" x14ac:dyDescent="0.25">
      <c r="A194" s="6">
        <v>193</v>
      </c>
      <c r="B194" s="6" t="s">
        <v>1823</v>
      </c>
      <c r="C194" s="6" t="s">
        <v>1819</v>
      </c>
      <c r="D194" s="6" t="s">
        <v>1820</v>
      </c>
      <c r="E194" s="6" t="s">
        <v>4</v>
      </c>
      <c r="F194" s="17">
        <v>45206.158368055556</v>
      </c>
      <c r="G194" s="21">
        <v>-6</v>
      </c>
      <c r="H194" s="4">
        <f t="shared" si="10"/>
        <v>45205.908368055556</v>
      </c>
      <c r="I194" s="3">
        <v>50</v>
      </c>
      <c r="J194" s="3">
        <v>11380</v>
      </c>
      <c r="K194" s="3">
        <v>8.5612392447418739E-4</v>
      </c>
      <c r="L194" s="3">
        <v>63.734999999999999</v>
      </c>
      <c r="M194" s="3">
        <v>78.78</v>
      </c>
      <c r="N194" s="3" t="s">
        <v>1334</v>
      </c>
      <c r="O194" s="3">
        <v>42.967700000000001</v>
      </c>
      <c r="P194" s="3">
        <v>-115.84180000000001</v>
      </c>
      <c r="Q194" s="3">
        <v>50000</v>
      </c>
      <c r="R194" s="3">
        <f t="shared" si="14"/>
        <v>50000</v>
      </c>
      <c r="S194" s="3">
        <v>4000</v>
      </c>
      <c r="T194" s="3">
        <f t="shared" si="15"/>
        <v>78.78</v>
      </c>
      <c r="U194" s="3">
        <v>48000</v>
      </c>
      <c r="V194" s="3" t="s">
        <v>144</v>
      </c>
      <c r="W194" s="3" t="s">
        <v>382</v>
      </c>
      <c r="X194" s="3">
        <v>0</v>
      </c>
      <c r="Y194" s="3">
        <v>60000</v>
      </c>
      <c r="Z194" s="3">
        <v>60000</v>
      </c>
      <c r="AA194" s="5">
        <v>790</v>
      </c>
      <c r="AB194" s="5">
        <v>0.22500000000000001</v>
      </c>
      <c r="AC194" s="5">
        <v>0.82</v>
      </c>
      <c r="AD194" s="5">
        <v>0</v>
      </c>
      <c r="AE194" s="5">
        <v>0</v>
      </c>
      <c r="AF194" s="5">
        <v>0</v>
      </c>
      <c r="AG194" s="5">
        <v>-1</v>
      </c>
      <c r="AH194" s="5">
        <v>1</v>
      </c>
      <c r="AI194" s="45">
        <v>0</v>
      </c>
      <c r="AJ194" s="45">
        <v>0</v>
      </c>
      <c r="AK194" s="45">
        <v>0</v>
      </c>
      <c r="AL194" s="23">
        <v>0</v>
      </c>
      <c r="AM194" s="23">
        <v>0</v>
      </c>
      <c r="AN194" s="23">
        <v>0</v>
      </c>
      <c r="AO194" s="23">
        <v>0</v>
      </c>
      <c r="AP194" s="23">
        <v>0</v>
      </c>
      <c r="AQ194" s="23">
        <v>0</v>
      </c>
      <c r="AR194" s="25">
        <v>0</v>
      </c>
      <c r="AS194" s="54">
        <v>0</v>
      </c>
      <c r="AT194" s="52">
        <v>0</v>
      </c>
      <c r="AU194" s="52">
        <v>0</v>
      </c>
      <c r="AV194" s="52">
        <v>0</v>
      </c>
      <c r="AW194" s="38">
        <v>0</v>
      </c>
      <c r="AX194" s="38">
        <v>145</v>
      </c>
      <c r="AY194" s="38">
        <v>0</v>
      </c>
      <c r="AZ194" s="38">
        <v>0</v>
      </c>
      <c r="BA194" s="38">
        <v>0</v>
      </c>
      <c r="BB194" s="38">
        <v>0</v>
      </c>
      <c r="BC194" s="38">
        <v>145</v>
      </c>
      <c r="BD194" s="38">
        <v>0</v>
      </c>
      <c r="BE194" s="38">
        <v>0</v>
      </c>
      <c r="BF194" s="38">
        <v>0</v>
      </c>
      <c r="BG194" s="40">
        <v>2</v>
      </c>
      <c r="BH194" s="40" t="s">
        <v>1821</v>
      </c>
      <c r="BI194" s="40">
        <v>0</v>
      </c>
    </row>
    <row r="195" spans="1:61" x14ac:dyDescent="0.25">
      <c r="A195" s="6">
        <v>194</v>
      </c>
      <c r="B195" s="6" t="s">
        <v>2218</v>
      </c>
      <c r="C195" s="6" t="s">
        <v>2218</v>
      </c>
      <c r="D195" s="6" t="s">
        <v>2219</v>
      </c>
      <c r="E195" s="6" t="s">
        <v>1439</v>
      </c>
      <c r="F195" s="17">
        <v>45290.088495370372</v>
      </c>
      <c r="G195" s="21">
        <v>0</v>
      </c>
      <c r="H195" s="4">
        <f t="shared" si="10"/>
        <v>45290.088495370372</v>
      </c>
      <c r="I195" s="3">
        <v>2</v>
      </c>
      <c r="J195" s="3">
        <v>71000</v>
      </c>
      <c r="K195" s="3">
        <f>I195*J195^2/2/4.184/10^12</f>
        <v>1.2048279158699809E-3</v>
      </c>
      <c r="L195" s="3">
        <v>301.22000000000003</v>
      </c>
      <c r="M195" s="3">
        <v>60.255000000000003</v>
      </c>
      <c r="N195" s="3" t="s">
        <v>1334</v>
      </c>
      <c r="O195" s="3">
        <v>50.243816000000002</v>
      </c>
      <c r="P195" s="3">
        <v>-3.3686129999999999</v>
      </c>
      <c r="Q195" s="3">
        <v>70000</v>
      </c>
      <c r="R195" s="3">
        <f t="shared" si="14"/>
        <v>70000</v>
      </c>
      <c r="S195" s="3">
        <v>20000</v>
      </c>
      <c r="T195" s="3">
        <f t="shared" si="15"/>
        <v>60.255000000000003</v>
      </c>
      <c r="U195" s="3">
        <v>70000</v>
      </c>
      <c r="V195" s="3" t="s">
        <v>144</v>
      </c>
      <c r="W195" s="3" t="s">
        <v>382</v>
      </c>
      <c r="X195" s="3">
        <v>0</v>
      </c>
      <c r="Y195" s="3">
        <v>108000</v>
      </c>
      <c r="Z195" s="3">
        <v>108000</v>
      </c>
      <c r="AA195" s="5">
        <v>2000</v>
      </c>
      <c r="AB195" s="5">
        <v>0.25</v>
      </c>
      <c r="AC195" s="5">
        <v>1</v>
      </c>
      <c r="AD195" s="5">
        <v>5.0000000000000001E-4</v>
      </c>
      <c r="AE195" s="5">
        <v>5.0000000000000001E-4</v>
      </c>
      <c r="AF195" s="5">
        <v>0</v>
      </c>
      <c r="AG195" s="5">
        <v>-1</v>
      </c>
      <c r="AH195" s="5">
        <v>1</v>
      </c>
      <c r="AI195" s="45">
        <v>0</v>
      </c>
      <c r="AJ195" s="45">
        <v>0</v>
      </c>
      <c r="AK195" s="45">
        <v>0</v>
      </c>
      <c r="AL195" s="23">
        <v>0</v>
      </c>
      <c r="AM195" s="23">
        <v>0</v>
      </c>
      <c r="AN195" s="23">
        <v>0</v>
      </c>
      <c r="AO195" s="23">
        <v>0</v>
      </c>
      <c r="AP195" s="23">
        <v>0</v>
      </c>
      <c r="AQ195" s="23">
        <v>0</v>
      </c>
      <c r="AR195" s="25">
        <v>0</v>
      </c>
      <c r="AS195" s="54">
        <v>0</v>
      </c>
      <c r="AT195" s="52">
        <v>0</v>
      </c>
      <c r="AU195" s="52">
        <v>0</v>
      </c>
      <c r="AV195" s="52">
        <v>0</v>
      </c>
      <c r="AW195" s="38">
        <v>0</v>
      </c>
      <c r="AX195" s="38">
        <v>0</v>
      </c>
      <c r="AY195" s="38">
        <v>0</v>
      </c>
      <c r="AZ195" s="38">
        <v>0</v>
      </c>
      <c r="BA195" s="38">
        <v>0</v>
      </c>
      <c r="BB195" s="38">
        <v>0</v>
      </c>
      <c r="BC195" s="38">
        <v>144</v>
      </c>
      <c r="BD195" s="38">
        <v>0</v>
      </c>
      <c r="BE195" s="38">
        <v>0</v>
      </c>
      <c r="BF195" s="38">
        <v>0</v>
      </c>
      <c r="BG195" s="40">
        <v>3</v>
      </c>
      <c r="BH195" s="40" t="s">
        <v>2220</v>
      </c>
      <c r="BI195" s="40">
        <v>0</v>
      </c>
    </row>
    <row r="196" spans="1:61" x14ac:dyDescent="0.25">
      <c r="A196" s="6">
        <v>195</v>
      </c>
      <c r="B196" s="6" t="s">
        <v>2221</v>
      </c>
      <c r="C196" s="6" t="s">
        <v>2221</v>
      </c>
      <c r="D196" s="6" t="s">
        <v>1227</v>
      </c>
      <c r="E196" s="6" t="s">
        <v>4</v>
      </c>
      <c r="F196" s="17">
        <v>45289.111493055556</v>
      </c>
      <c r="G196" s="21">
        <v>-7</v>
      </c>
      <c r="H196" s="4">
        <f t="shared" si="10"/>
        <v>45288.819826388892</v>
      </c>
      <c r="I196" s="3">
        <v>100</v>
      </c>
      <c r="J196" s="3">
        <v>13530</v>
      </c>
      <c r="K196" s="3">
        <f>I196*J196^2/2/4.184/10^12</f>
        <v>2.1876302581261948E-3</v>
      </c>
      <c r="L196" s="3">
        <v>237.5</v>
      </c>
      <c r="M196" s="3">
        <v>36.810099999999998</v>
      </c>
      <c r="N196" s="3" t="s">
        <v>1334</v>
      </c>
      <c r="O196" s="3">
        <v>33.882944999999999</v>
      </c>
      <c r="P196" s="3">
        <v>-114.2671855</v>
      </c>
      <c r="Q196" s="3">
        <v>26206</v>
      </c>
      <c r="R196" s="3">
        <f t="shared" si="14"/>
        <v>26206</v>
      </c>
      <c r="S196" s="3">
        <v>4000</v>
      </c>
      <c r="T196" s="3">
        <f t="shared" si="15"/>
        <v>36.810099999999998</v>
      </c>
      <c r="U196" s="3">
        <f>Q196</f>
        <v>26206</v>
      </c>
      <c r="V196" s="3" t="s">
        <v>81</v>
      </c>
      <c r="W196" s="3" t="s">
        <v>382</v>
      </c>
      <c r="X196" s="3">
        <v>0</v>
      </c>
      <c r="Y196" s="3">
        <v>60000</v>
      </c>
      <c r="Z196" s="3">
        <v>60000</v>
      </c>
      <c r="AA196" s="5">
        <v>283</v>
      </c>
      <c r="AB196" s="5">
        <v>1</v>
      </c>
      <c r="AC196" s="5">
        <v>1</v>
      </c>
      <c r="AD196" s="5">
        <v>4.3140000000008172E-3</v>
      </c>
      <c r="AE196" s="5">
        <v>1.2336500000003525E-2</v>
      </c>
      <c r="AF196" s="5">
        <v>1000</v>
      </c>
      <c r="AG196" s="5">
        <v>-1</v>
      </c>
      <c r="AH196" s="5">
        <v>1</v>
      </c>
      <c r="AI196" s="45">
        <v>0</v>
      </c>
      <c r="AJ196" s="45">
        <v>0</v>
      </c>
      <c r="AK196" s="45">
        <v>0</v>
      </c>
      <c r="AL196" s="23">
        <v>0</v>
      </c>
      <c r="AM196" s="23">
        <v>0</v>
      </c>
      <c r="AN196" s="23">
        <v>0</v>
      </c>
      <c r="AO196" s="23">
        <v>0</v>
      </c>
      <c r="AP196" s="23">
        <v>0</v>
      </c>
      <c r="AQ196" s="23">
        <v>0</v>
      </c>
      <c r="AR196" s="25">
        <v>0</v>
      </c>
      <c r="AS196" s="54">
        <v>0</v>
      </c>
      <c r="AT196" s="52">
        <v>0</v>
      </c>
      <c r="AU196" s="52">
        <v>0</v>
      </c>
      <c r="AV196" s="52">
        <v>0</v>
      </c>
      <c r="AW196" s="38">
        <v>0</v>
      </c>
      <c r="AX196" s="38">
        <v>138</v>
      </c>
      <c r="AY196" s="38">
        <v>0</v>
      </c>
      <c r="AZ196" s="38">
        <v>0</v>
      </c>
      <c r="BA196" s="38">
        <v>0</v>
      </c>
      <c r="BB196" s="38">
        <v>0</v>
      </c>
      <c r="BC196" s="38">
        <v>138</v>
      </c>
      <c r="BD196" s="38">
        <v>0</v>
      </c>
      <c r="BE196" s="38">
        <v>0</v>
      </c>
      <c r="BF196" s="38">
        <v>0</v>
      </c>
      <c r="BG196" s="40">
        <v>3</v>
      </c>
      <c r="BH196" s="40" t="s">
        <v>1416</v>
      </c>
      <c r="BI196" s="40">
        <v>0</v>
      </c>
    </row>
  </sheetData>
  <autoFilter ref="A5:BI189" xr:uid="{332638A7-5364-4539-88F3-B010BD503402}">
    <sortState xmlns:xlrd2="http://schemas.microsoft.com/office/spreadsheetml/2017/richdata2" ref="A6:BI196">
      <sortCondition ref="A5:A189"/>
    </sortState>
  </autoFilter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F0D29-302D-4894-9471-C390103E7AFC}">
  <dimension ref="A1:D142"/>
  <sheetViews>
    <sheetView workbookViewId="0">
      <selection activeCell="B135" sqref="B135"/>
    </sheetView>
  </sheetViews>
  <sheetFormatPr defaultRowHeight="15" x14ac:dyDescent="0.25"/>
  <cols>
    <col min="1" max="1" width="8.7109375" style="33" customWidth="1"/>
    <col min="2" max="2" width="191.42578125" style="32" customWidth="1"/>
    <col min="3" max="3" width="29.7109375" style="28" bestFit="1" customWidth="1"/>
    <col min="4" max="4" width="20.140625" customWidth="1"/>
  </cols>
  <sheetData>
    <row r="1" spans="1:4" s="29" customFormat="1" x14ac:dyDescent="0.25">
      <c r="A1" s="34" t="s">
        <v>218</v>
      </c>
      <c r="B1" s="35" t="s">
        <v>167</v>
      </c>
      <c r="C1" s="30" t="s">
        <v>224</v>
      </c>
      <c r="D1" s="29" t="s">
        <v>400</v>
      </c>
    </row>
    <row r="2" spans="1:4" s="29" customFormat="1" x14ac:dyDescent="0.25">
      <c r="A2" s="33">
        <v>1</v>
      </c>
      <c r="B2" s="32" t="s">
        <v>223</v>
      </c>
      <c r="C2" s="31">
        <v>43812</v>
      </c>
    </row>
    <row r="3" spans="1:4" x14ac:dyDescent="0.25">
      <c r="A3" s="33">
        <v>2</v>
      </c>
      <c r="B3" s="32" t="s">
        <v>219</v>
      </c>
      <c r="C3" s="31">
        <v>43812</v>
      </c>
    </row>
    <row r="4" spans="1:4" x14ac:dyDescent="0.25">
      <c r="A4" s="33">
        <v>3</v>
      </c>
      <c r="B4" s="32" t="s">
        <v>220</v>
      </c>
      <c r="C4" s="31">
        <v>43812</v>
      </c>
    </row>
    <row r="5" spans="1:4" ht="30" x14ac:dyDescent="0.25">
      <c r="A5" s="33">
        <v>4</v>
      </c>
      <c r="B5" s="32" t="s">
        <v>221</v>
      </c>
      <c r="C5" s="31">
        <v>43812</v>
      </c>
    </row>
    <row r="6" spans="1:4" x14ac:dyDescent="0.25">
      <c r="A6" s="33">
        <v>5</v>
      </c>
      <c r="B6" s="32" t="s">
        <v>222</v>
      </c>
      <c r="C6" s="31">
        <v>43812</v>
      </c>
      <c r="D6" t="s">
        <v>401</v>
      </c>
    </row>
    <row r="7" spans="1:4" ht="45" x14ac:dyDescent="0.25">
      <c r="A7" s="33">
        <v>6</v>
      </c>
      <c r="B7" s="32" t="s">
        <v>377</v>
      </c>
      <c r="C7" s="31">
        <v>43812</v>
      </c>
    </row>
    <row r="8" spans="1:4" ht="30" x14ac:dyDescent="0.25">
      <c r="A8" s="33">
        <v>7</v>
      </c>
      <c r="B8" s="32" t="s">
        <v>370</v>
      </c>
      <c r="C8" s="31">
        <v>43812</v>
      </c>
    </row>
    <row r="9" spans="1:4" ht="30" x14ac:dyDescent="0.25">
      <c r="A9" s="33">
        <v>8</v>
      </c>
      <c r="B9" s="32" t="s">
        <v>364</v>
      </c>
      <c r="C9" s="31">
        <v>43812</v>
      </c>
    </row>
    <row r="10" spans="1:4" x14ac:dyDescent="0.25">
      <c r="A10" s="33">
        <v>9</v>
      </c>
      <c r="B10" s="32" t="s">
        <v>349</v>
      </c>
      <c r="C10" s="31">
        <v>43812</v>
      </c>
    </row>
    <row r="11" spans="1:4" ht="30" x14ac:dyDescent="0.25">
      <c r="A11" s="33">
        <v>10</v>
      </c>
      <c r="B11" s="32" t="s">
        <v>266</v>
      </c>
      <c r="C11" s="31">
        <v>43812</v>
      </c>
    </row>
    <row r="12" spans="1:4" ht="30" x14ac:dyDescent="0.25">
      <c r="A12" s="33">
        <v>11</v>
      </c>
      <c r="B12" s="32" t="s">
        <v>352</v>
      </c>
      <c r="C12" s="31">
        <v>43812</v>
      </c>
    </row>
    <row r="13" spans="1:4" x14ac:dyDescent="0.25">
      <c r="A13" s="33">
        <v>12</v>
      </c>
      <c r="B13" s="32" t="s">
        <v>332</v>
      </c>
      <c r="C13" s="31">
        <v>43812</v>
      </c>
    </row>
    <row r="14" spans="1:4" ht="30" x14ac:dyDescent="0.25">
      <c r="A14" s="33">
        <v>13</v>
      </c>
      <c r="B14" s="32" t="s">
        <v>331</v>
      </c>
      <c r="C14" s="31">
        <v>43812</v>
      </c>
    </row>
    <row r="15" spans="1:4" x14ac:dyDescent="0.25">
      <c r="A15" s="33">
        <v>14</v>
      </c>
      <c r="B15" s="32" t="s">
        <v>268</v>
      </c>
      <c r="C15" s="31">
        <v>43812</v>
      </c>
    </row>
    <row r="16" spans="1:4" ht="45" x14ac:dyDescent="0.25">
      <c r="A16" s="33">
        <v>15</v>
      </c>
      <c r="B16" s="32" t="s">
        <v>275</v>
      </c>
      <c r="C16" s="31">
        <v>43812</v>
      </c>
    </row>
    <row r="17" spans="1:3" ht="30" x14ac:dyDescent="0.25">
      <c r="A17" s="33">
        <v>16</v>
      </c>
      <c r="B17" s="32" t="s">
        <v>353</v>
      </c>
      <c r="C17" s="31">
        <v>43812</v>
      </c>
    </row>
    <row r="18" spans="1:3" ht="30" x14ac:dyDescent="0.25">
      <c r="A18" s="33">
        <v>17</v>
      </c>
      <c r="B18" s="32" t="s">
        <v>277</v>
      </c>
      <c r="C18" s="31">
        <v>43812</v>
      </c>
    </row>
    <row r="19" spans="1:3" x14ac:dyDescent="0.25">
      <c r="A19" s="33">
        <v>18</v>
      </c>
      <c r="B19" s="32" t="s">
        <v>310</v>
      </c>
      <c r="C19" s="31">
        <v>43812</v>
      </c>
    </row>
    <row r="20" spans="1:3" x14ac:dyDescent="0.25">
      <c r="A20" s="33">
        <v>19</v>
      </c>
      <c r="B20" s="32" t="s">
        <v>311</v>
      </c>
      <c r="C20" s="31">
        <v>43812</v>
      </c>
    </row>
    <row r="21" spans="1:3" ht="30" x14ac:dyDescent="0.25">
      <c r="A21" s="33">
        <v>20</v>
      </c>
      <c r="B21" s="32" t="s">
        <v>356</v>
      </c>
      <c r="C21" s="31">
        <v>43812</v>
      </c>
    </row>
    <row r="22" spans="1:3" x14ac:dyDescent="0.25">
      <c r="A22" s="33">
        <v>21</v>
      </c>
      <c r="B22" s="32" t="s">
        <v>271</v>
      </c>
      <c r="C22" s="31">
        <v>43812</v>
      </c>
    </row>
    <row r="23" spans="1:3" ht="30" x14ac:dyDescent="0.25">
      <c r="A23" s="33">
        <v>22</v>
      </c>
      <c r="B23" s="32" t="s">
        <v>270</v>
      </c>
      <c r="C23" s="31">
        <v>43812</v>
      </c>
    </row>
    <row r="24" spans="1:3" x14ac:dyDescent="0.25">
      <c r="A24" s="33">
        <v>23</v>
      </c>
      <c r="B24" s="32" t="s">
        <v>329</v>
      </c>
      <c r="C24" s="31">
        <v>43812</v>
      </c>
    </row>
    <row r="25" spans="1:3" x14ac:dyDescent="0.25">
      <c r="A25" s="33">
        <v>24</v>
      </c>
      <c r="B25" s="32" t="s">
        <v>285</v>
      </c>
      <c r="C25" s="31">
        <v>43812</v>
      </c>
    </row>
    <row r="26" spans="1:3" x14ac:dyDescent="0.25">
      <c r="A26" s="33">
        <v>25</v>
      </c>
      <c r="B26" s="32" t="s">
        <v>287</v>
      </c>
      <c r="C26" s="31">
        <v>43812</v>
      </c>
    </row>
    <row r="27" spans="1:3" x14ac:dyDescent="0.25">
      <c r="A27" s="33">
        <v>26</v>
      </c>
      <c r="B27" s="32" t="s">
        <v>320</v>
      </c>
      <c r="C27" s="31">
        <v>43812</v>
      </c>
    </row>
    <row r="28" spans="1:3" x14ac:dyDescent="0.25">
      <c r="A28" s="33">
        <v>27</v>
      </c>
      <c r="B28" s="32" t="s">
        <v>308</v>
      </c>
      <c r="C28" s="31">
        <v>43812</v>
      </c>
    </row>
    <row r="29" spans="1:3" ht="30" x14ac:dyDescent="0.25">
      <c r="A29" s="33">
        <v>28</v>
      </c>
      <c r="B29" s="32" t="s">
        <v>309</v>
      </c>
      <c r="C29" s="31">
        <v>43812</v>
      </c>
    </row>
    <row r="30" spans="1:3" x14ac:dyDescent="0.25">
      <c r="A30" s="33">
        <v>29</v>
      </c>
      <c r="B30" s="32" t="s">
        <v>354</v>
      </c>
      <c r="C30" s="31">
        <v>43812</v>
      </c>
    </row>
    <row r="31" spans="1:3" ht="30" x14ac:dyDescent="0.25">
      <c r="A31" s="33">
        <v>30</v>
      </c>
      <c r="B31" s="32" t="s">
        <v>351</v>
      </c>
      <c r="C31" s="31">
        <v>43812</v>
      </c>
    </row>
    <row r="32" spans="1:3" x14ac:dyDescent="0.25">
      <c r="A32" s="33">
        <v>32</v>
      </c>
      <c r="B32" s="32" t="s">
        <v>265</v>
      </c>
      <c r="C32" s="31">
        <v>43812</v>
      </c>
    </row>
    <row r="33" spans="1:3" x14ac:dyDescent="0.25">
      <c r="A33" s="33">
        <v>33</v>
      </c>
      <c r="B33" s="32" t="s">
        <v>360</v>
      </c>
      <c r="C33" s="31">
        <v>43812</v>
      </c>
    </row>
    <row r="34" spans="1:3" x14ac:dyDescent="0.25">
      <c r="A34" s="33">
        <v>34</v>
      </c>
      <c r="B34" s="32" t="s">
        <v>359</v>
      </c>
      <c r="C34" s="31">
        <v>43812</v>
      </c>
    </row>
    <row r="35" spans="1:3" ht="60" x14ac:dyDescent="0.25">
      <c r="A35" s="33">
        <v>35</v>
      </c>
      <c r="B35" s="32" t="s">
        <v>318</v>
      </c>
      <c r="C35" s="31">
        <v>43812</v>
      </c>
    </row>
    <row r="36" spans="1:3" ht="30" x14ac:dyDescent="0.25">
      <c r="A36" s="33">
        <v>36</v>
      </c>
      <c r="B36" s="32" t="s">
        <v>278</v>
      </c>
      <c r="C36" s="31">
        <v>43812</v>
      </c>
    </row>
    <row r="37" spans="1:3" x14ac:dyDescent="0.25">
      <c r="A37" s="33">
        <v>37</v>
      </c>
      <c r="B37" s="32" t="s">
        <v>276</v>
      </c>
      <c r="C37" s="31">
        <v>43812</v>
      </c>
    </row>
    <row r="38" spans="1:3" ht="30" x14ac:dyDescent="0.25">
      <c r="A38" s="33">
        <v>39</v>
      </c>
      <c r="B38" s="32" t="s">
        <v>282</v>
      </c>
      <c r="C38" s="31">
        <v>43812</v>
      </c>
    </row>
    <row r="39" spans="1:3" x14ac:dyDescent="0.25">
      <c r="A39" s="33">
        <v>40</v>
      </c>
      <c r="B39" s="32" t="s">
        <v>283</v>
      </c>
      <c r="C39" s="31">
        <v>43812</v>
      </c>
    </row>
    <row r="40" spans="1:3" ht="75" x14ac:dyDescent="0.25">
      <c r="A40" s="33">
        <v>41</v>
      </c>
      <c r="B40" s="32" t="s">
        <v>317</v>
      </c>
      <c r="C40" s="31">
        <v>43812</v>
      </c>
    </row>
    <row r="41" spans="1:3" x14ac:dyDescent="0.25">
      <c r="A41" s="33">
        <v>42</v>
      </c>
      <c r="B41" s="32" t="s">
        <v>336</v>
      </c>
      <c r="C41" s="31">
        <v>43812</v>
      </c>
    </row>
    <row r="42" spans="1:3" ht="30" x14ac:dyDescent="0.25">
      <c r="A42" s="33">
        <v>43</v>
      </c>
      <c r="B42" s="32" t="s">
        <v>279</v>
      </c>
      <c r="C42" s="31">
        <v>43812</v>
      </c>
    </row>
    <row r="43" spans="1:3" ht="30" x14ac:dyDescent="0.25">
      <c r="A43" s="33">
        <v>44</v>
      </c>
      <c r="B43" s="32" t="s">
        <v>376</v>
      </c>
      <c r="C43" s="31">
        <v>43812</v>
      </c>
    </row>
    <row r="44" spans="1:3" x14ac:dyDescent="0.25">
      <c r="A44" s="33">
        <v>45</v>
      </c>
      <c r="B44" s="32" t="s">
        <v>280</v>
      </c>
      <c r="C44" s="31">
        <v>43812</v>
      </c>
    </row>
    <row r="45" spans="1:3" ht="30" x14ac:dyDescent="0.25">
      <c r="A45" s="33">
        <v>46</v>
      </c>
      <c r="B45" s="32" t="s">
        <v>363</v>
      </c>
      <c r="C45" s="31">
        <v>43812</v>
      </c>
    </row>
    <row r="46" spans="1:3" ht="30" x14ac:dyDescent="0.25">
      <c r="A46" s="33">
        <v>47</v>
      </c>
      <c r="B46" s="32" t="s">
        <v>378</v>
      </c>
      <c r="C46" s="31">
        <v>43812</v>
      </c>
    </row>
    <row r="47" spans="1:3" x14ac:dyDescent="0.25">
      <c r="A47" s="33">
        <v>48</v>
      </c>
      <c r="B47" s="32" t="s">
        <v>350</v>
      </c>
      <c r="C47" s="31">
        <v>43812</v>
      </c>
    </row>
    <row r="48" spans="1:3" x14ac:dyDescent="0.25">
      <c r="A48" s="33">
        <v>51</v>
      </c>
      <c r="B48" s="32" t="s">
        <v>273</v>
      </c>
      <c r="C48" s="31">
        <v>43812</v>
      </c>
    </row>
    <row r="49" spans="1:3" x14ac:dyDescent="0.25">
      <c r="A49" s="33">
        <v>52</v>
      </c>
      <c r="B49" s="32" t="s">
        <v>361</v>
      </c>
      <c r="C49" s="31">
        <v>43812</v>
      </c>
    </row>
    <row r="50" spans="1:3" x14ac:dyDescent="0.25">
      <c r="A50" s="33">
        <v>53</v>
      </c>
      <c r="B50" s="32" t="s">
        <v>260</v>
      </c>
      <c r="C50" s="31">
        <v>43812</v>
      </c>
    </row>
    <row r="51" spans="1:3" ht="30" x14ac:dyDescent="0.25">
      <c r="A51" s="33">
        <v>54</v>
      </c>
      <c r="B51" s="32" t="s">
        <v>303</v>
      </c>
      <c r="C51" s="31">
        <v>43812</v>
      </c>
    </row>
    <row r="52" spans="1:3" x14ac:dyDescent="0.25">
      <c r="A52" s="33">
        <v>55</v>
      </c>
      <c r="B52" s="32" t="s">
        <v>304</v>
      </c>
      <c r="C52" s="31">
        <v>43812</v>
      </c>
    </row>
    <row r="53" spans="1:3" x14ac:dyDescent="0.25">
      <c r="A53" s="33">
        <v>56</v>
      </c>
      <c r="B53" s="32" t="s">
        <v>313</v>
      </c>
      <c r="C53" s="31">
        <v>43812</v>
      </c>
    </row>
    <row r="54" spans="1:3" ht="30" x14ac:dyDescent="0.25">
      <c r="A54" s="33">
        <v>57</v>
      </c>
      <c r="B54" s="32" t="s">
        <v>374</v>
      </c>
      <c r="C54" s="31">
        <v>43812</v>
      </c>
    </row>
    <row r="55" spans="1:3" x14ac:dyDescent="0.25">
      <c r="A55" s="33">
        <v>58</v>
      </c>
      <c r="B55" s="32" t="s">
        <v>321</v>
      </c>
      <c r="C55" s="31">
        <v>43812</v>
      </c>
    </row>
    <row r="56" spans="1:3" x14ac:dyDescent="0.25">
      <c r="A56" s="33">
        <v>59</v>
      </c>
      <c r="B56" s="32" t="s">
        <v>327</v>
      </c>
      <c r="C56" s="31">
        <v>43812</v>
      </c>
    </row>
    <row r="57" spans="1:3" x14ac:dyDescent="0.25">
      <c r="A57" s="33">
        <v>60</v>
      </c>
      <c r="B57" s="32" t="s">
        <v>330</v>
      </c>
      <c r="C57" s="31">
        <v>43812</v>
      </c>
    </row>
    <row r="58" spans="1:3" ht="30" x14ac:dyDescent="0.25">
      <c r="A58" s="33">
        <v>61</v>
      </c>
      <c r="B58" s="32" t="s">
        <v>263</v>
      </c>
      <c r="C58" s="31">
        <v>43812</v>
      </c>
    </row>
    <row r="59" spans="1:3" ht="30" x14ac:dyDescent="0.25">
      <c r="A59" s="33">
        <v>62</v>
      </c>
      <c r="B59" s="32" t="s">
        <v>369</v>
      </c>
      <c r="C59" s="31">
        <v>43812</v>
      </c>
    </row>
    <row r="60" spans="1:3" ht="30" x14ac:dyDescent="0.25">
      <c r="A60" s="33">
        <v>63</v>
      </c>
      <c r="B60" s="32" t="s">
        <v>324</v>
      </c>
      <c r="C60" s="31">
        <v>43812</v>
      </c>
    </row>
    <row r="61" spans="1:3" x14ac:dyDescent="0.25">
      <c r="A61" s="33">
        <v>64</v>
      </c>
      <c r="B61" s="32" t="s">
        <v>314</v>
      </c>
      <c r="C61" s="31">
        <v>43812</v>
      </c>
    </row>
    <row r="62" spans="1:3" ht="30" x14ac:dyDescent="0.25">
      <c r="A62" s="33">
        <v>65</v>
      </c>
      <c r="B62" s="32" t="s">
        <v>316</v>
      </c>
      <c r="C62" s="31">
        <v>43812</v>
      </c>
    </row>
    <row r="63" spans="1:3" ht="30" x14ac:dyDescent="0.25">
      <c r="A63" s="33">
        <v>66</v>
      </c>
      <c r="B63" s="32" t="s">
        <v>300</v>
      </c>
      <c r="C63" s="31">
        <v>43812</v>
      </c>
    </row>
    <row r="64" spans="1:3" ht="30" x14ac:dyDescent="0.25">
      <c r="A64" s="33">
        <v>67</v>
      </c>
      <c r="B64" s="32" t="s">
        <v>307</v>
      </c>
      <c r="C64" s="31">
        <v>43812</v>
      </c>
    </row>
    <row r="65" spans="1:3" ht="30" x14ac:dyDescent="0.25">
      <c r="A65" s="33">
        <v>68</v>
      </c>
      <c r="B65" s="32" t="s">
        <v>262</v>
      </c>
      <c r="C65" s="31">
        <v>43812</v>
      </c>
    </row>
    <row r="66" spans="1:3" x14ac:dyDescent="0.25">
      <c r="A66" s="33">
        <v>69</v>
      </c>
      <c r="B66" s="32" t="s">
        <v>328</v>
      </c>
      <c r="C66" s="31">
        <v>43812</v>
      </c>
    </row>
    <row r="67" spans="1:3" x14ac:dyDescent="0.25">
      <c r="A67" s="33">
        <v>70</v>
      </c>
      <c r="B67" s="32" t="s">
        <v>338</v>
      </c>
      <c r="C67" s="31">
        <v>43812</v>
      </c>
    </row>
    <row r="68" spans="1:3" ht="45" x14ac:dyDescent="0.25">
      <c r="A68" s="33">
        <v>71</v>
      </c>
      <c r="B68" s="32" t="s">
        <v>323</v>
      </c>
      <c r="C68" s="31">
        <v>43812</v>
      </c>
    </row>
    <row r="69" spans="1:3" x14ac:dyDescent="0.25">
      <c r="A69" s="33">
        <v>72</v>
      </c>
      <c r="B69" s="32" t="s">
        <v>294</v>
      </c>
      <c r="C69" s="31">
        <v>43812</v>
      </c>
    </row>
    <row r="70" spans="1:3" x14ac:dyDescent="0.25">
      <c r="A70" s="33">
        <v>73</v>
      </c>
      <c r="B70" s="32" t="s">
        <v>326</v>
      </c>
      <c r="C70" s="31">
        <v>43812</v>
      </c>
    </row>
    <row r="71" spans="1:3" ht="30" x14ac:dyDescent="0.25">
      <c r="A71" s="33">
        <v>74</v>
      </c>
      <c r="B71" s="32" t="s">
        <v>375</v>
      </c>
      <c r="C71" s="31">
        <v>43812</v>
      </c>
    </row>
    <row r="72" spans="1:3" ht="30" x14ac:dyDescent="0.25">
      <c r="A72" s="33">
        <v>75</v>
      </c>
      <c r="B72" s="32" t="s">
        <v>322</v>
      </c>
      <c r="C72" s="31">
        <v>43812</v>
      </c>
    </row>
    <row r="73" spans="1:3" ht="45" x14ac:dyDescent="0.25">
      <c r="A73" s="33">
        <v>76</v>
      </c>
      <c r="B73" s="32" t="s">
        <v>343</v>
      </c>
      <c r="C73" s="31">
        <v>43812</v>
      </c>
    </row>
    <row r="74" spans="1:3" ht="30" x14ac:dyDescent="0.25">
      <c r="A74" s="33">
        <v>77</v>
      </c>
      <c r="B74" s="32" t="s">
        <v>325</v>
      </c>
      <c r="C74" s="31">
        <v>43812</v>
      </c>
    </row>
    <row r="75" spans="1:3" x14ac:dyDescent="0.25">
      <c r="A75" s="33">
        <v>78</v>
      </c>
      <c r="B75" s="32" t="s">
        <v>365</v>
      </c>
      <c r="C75" s="31">
        <v>43812</v>
      </c>
    </row>
    <row r="76" spans="1:3" x14ac:dyDescent="0.25">
      <c r="A76" s="33">
        <v>79</v>
      </c>
      <c r="B76" s="32" t="s">
        <v>334</v>
      </c>
      <c r="C76" s="31">
        <v>43812</v>
      </c>
    </row>
    <row r="77" spans="1:3" ht="30" x14ac:dyDescent="0.25">
      <c r="A77" s="33">
        <v>80</v>
      </c>
      <c r="B77" s="32" t="s">
        <v>319</v>
      </c>
      <c r="C77" s="31">
        <v>43812</v>
      </c>
    </row>
    <row r="78" spans="1:3" ht="30" x14ac:dyDescent="0.25">
      <c r="A78" s="33">
        <v>81</v>
      </c>
      <c r="B78" s="32" t="s">
        <v>358</v>
      </c>
      <c r="C78" s="31">
        <v>43812</v>
      </c>
    </row>
    <row r="79" spans="1:3" x14ac:dyDescent="0.25">
      <c r="A79" s="33">
        <v>82</v>
      </c>
      <c r="B79" s="32" t="s">
        <v>373</v>
      </c>
      <c r="C79" s="31">
        <v>43812</v>
      </c>
    </row>
    <row r="80" spans="1:3" ht="90" x14ac:dyDescent="0.25">
      <c r="A80" s="33">
        <v>83</v>
      </c>
      <c r="B80" s="32" t="s">
        <v>341</v>
      </c>
      <c r="C80" s="31">
        <v>43812</v>
      </c>
    </row>
    <row r="81" spans="1:3" ht="30" x14ac:dyDescent="0.25">
      <c r="A81" s="33">
        <v>84</v>
      </c>
      <c r="B81" s="32" t="s">
        <v>261</v>
      </c>
      <c r="C81" s="31">
        <v>43812</v>
      </c>
    </row>
    <row r="82" spans="1:3" ht="30" x14ac:dyDescent="0.25">
      <c r="A82" s="33">
        <v>85</v>
      </c>
      <c r="B82" s="32" t="s">
        <v>264</v>
      </c>
      <c r="C82" s="31">
        <v>43812</v>
      </c>
    </row>
    <row r="83" spans="1:3" x14ac:dyDescent="0.25">
      <c r="A83" s="33">
        <v>86</v>
      </c>
      <c r="B83" s="32" t="s">
        <v>267</v>
      </c>
      <c r="C83" s="31">
        <v>43812</v>
      </c>
    </row>
    <row r="84" spans="1:3" ht="30" x14ac:dyDescent="0.25">
      <c r="A84" s="33">
        <v>87</v>
      </c>
      <c r="B84" s="32" t="s">
        <v>269</v>
      </c>
      <c r="C84" s="31">
        <v>43812</v>
      </c>
    </row>
    <row r="85" spans="1:3" x14ac:dyDescent="0.25">
      <c r="A85" s="33">
        <v>88</v>
      </c>
      <c r="B85" s="32" t="s">
        <v>272</v>
      </c>
      <c r="C85" s="31">
        <v>43812</v>
      </c>
    </row>
    <row r="86" spans="1:3" x14ac:dyDescent="0.25">
      <c r="A86" s="33">
        <v>89</v>
      </c>
      <c r="B86" s="32" t="s">
        <v>274</v>
      </c>
      <c r="C86" s="31">
        <v>43812</v>
      </c>
    </row>
    <row r="87" spans="1:3" x14ac:dyDescent="0.25">
      <c r="A87" s="33">
        <v>90</v>
      </c>
      <c r="B87" s="32" t="s">
        <v>281</v>
      </c>
      <c r="C87" s="31">
        <v>43812</v>
      </c>
    </row>
    <row r="88" spans="1:3" x14ac:dyDescent="0.25">
      <c r="A88" s="33">
        <v>91</v>
      </c>
      <c r="B88" s="32" t="s">
        <v>284</v>
      </c>
      <c r="C88" s="31">
        <v>43812</v>
      </c>
    </row>
    <row r="89" spans="1:3" ht="30" x14ac:dyDescent="0.25">
      <c r="A89" s="33">
        <v>92</v>
      </c>
      <c r="B89" s="32" t="s">
        <v>286</v>
      </c>
      <c r="C89" s="31">
        <v>43812</v>
      </c>
    </row>
    <row r="90" spans="1:3" x14ac:dyDescent="0.25">
      <c r="A90" s="33">
        <v>93</v>
      </c>
      <c r="B90" s="32" t="s">
        <v>288</v>
      </c>
      <c r="C90" s="31">
        <v>43812</v>
      </c>
    </row>
    <row r="91" spans="1:3" x14ac:dyDescent="0.25">
      <c r="A91" s="33">
        <v>94</v>
      </c>
      <c r="B91" s="32" t="s">
        <v>289</v>
      </c>
      <c r="C91" s="31">
        <v>43812</v>
      </c>
    </row>
    <row r="92" spans="1:3" x14ac:dyDescent="0.25">
      <c r="A92" s="33">
        <v>95</v>
      </c>
      <c r="B92" s="32" t="s">
        <v>290</v>
      </c>
      <c r="C92" s="31">
        <v>43812</v>
      </c>
    </row>
    <row r="93" spans="1:3" x14ac:dyDescent="0.25">
      <c r="A93" s="33">
        <v>96</v>
      </c>
      <c r="B93" s="32" t="s">
        <v>291</v>
      </c>
      <c r="C93" s="31">
        <v>43812</v>
      </c>
    </row>
    <row r="94" spans="1:3" x14ac:dyDescent="0.25">
      <c r="A94" s="33">
        <v>97</v>
      </c>
      <c r="B94" s="32" t="s">
        <v>292</v>
      </c>
      <c r="C94" s="31">
        <v>43812</v>
      </c>
    </row>
    <row r="95" spans="1:3" x14ac:dyDescent="0.25">
      <c r="A95" s="33">
        <v>98</v>
      </c>
      <c r="B95" s="32" t="s">
        <v>293</v>
      </c>
      <c r="C95" s="31">
        <v>43812</v>
      </c>
    </row>
    <row r="96" spans="1:3" x14ac:dyDescent="0.25">
      <c r="A96" s="33">
        <v>99</v>
      </c>
      <c r="B96" s="32" t="s">
        <v>295</v>
      </c>
      <c r="C96" s="31">
        <v>43812</v>
      </c>
    </row>
    <row r="97" spans="1:3" x14ac:dyDescent="0.25">
      <c r="A97" s="33">
        <v>100</v>
      </c>
      <c r="B97" s="32" t="s">
        <v>296</v>
      </c>
      <c r="C97" s="31">
        <v>43812</v>
      </c>
    </row>
    <row r="98" spans="1:3" x14ac:dyDescent="0.25">
      <c r="A98" s="33">
        <v>101</v>
      </c>
      <c r="B98" s="32" t="s">
        <v>297</v>
      </c>
      <c r="C98" s="31">
        <v>43812</v>
      </c>
    </row>
    <row r="99" spans="1:3" x14ac:dyDescent="0.25">
      <c r="A99" s="33">
        <v>102</v>
      </c>
      <c r="B99" s="32" t="s">
        <v>298</v>
      </c>
      <c r="C99" s="31">
        <v>43812</v>
      </c>
    </row>
    <row r="100" spans="1:3" x14ac:dyDescent="0.25">
      <c r="A100" s="33">
        <v>103</v>
      </c>
      <c r="B100" s="32" t="s">
        <v>299</v>
      </c>
      <c r="C100" s="31">
        <v>43812</v>
      </c>
    </row>
    <row r="101" spans="1:3" x14ac:dyDescent="0.25">
      <c r="A101" s="33">
        <v>104</v>
      </c>
      <c r="B101" s="32" t="s">
        <v>301</v>
      </c>
      <c r="C101" s="31">
        <v>43812</v>
      </c>
    </row>
    <row r="102" spans="1:3" x14ac:dyDescent="0.25">
      <c r="A102" s="33">
        <v>105</v>
      </c>
      <c r="B102" s="32" t="s">
        <v>302</v>
      </c>
      <c r="C102" s="31">
        <v>43812</v>
      </c>
    </row>
    <row r="103" spans="1:3" ht="30" x14ac:dyDescent="0.25">
      <c r="A103" s="33">
        <v>106</v>
      </c>
      <c r="B103" s="32" t="s">
        <v>305</v>
      </c>
      <c r="C103" s="31">
        <v>43812</v>
      </c>
    </row>
    <row r="104" spans="1:3" ht="30" x14ac:dyDescent="0.25">
      <c r="A104" s="33">
        <v>107</v>
      </c>
      <c r="B104" s="32" t="s">
        <v>306</v>
      </c>
      <c r="C104" s="31">
        <v>43812</v>
      </c>
    </row>
    <row r="105" spans="1:3" ht="30" x14ac:dyDescent="0.25">
      <c r="A105" s="33">
        <v>108</v>
      </c>
      <c r="B105" s="32" t="s">
        <v>312</v>
      </c>
      <c r="C105" s="31">
        <v>43812</v>
      </c>
    </row>
    <row r="106" spans="1:3" x14ac:dyDescent="0.25">
      <c r="A106" s="33">
        <v>109</v>
      </c>
      <c r="B106" s="32" t="s">
        <v>315</v>
      </c>
      <c r="C106" s="31">
        <v>43812</v>
      </c>
    </row>
    <row r="107" spans="1:3" x14ac:dyDescent="0.25">
      <c r="A107" s="33">
        <v>110</v>
      </c>
      <c r="B107" s="32" t="s">
        <v>333</v>
      </c>
      <c r="C107" s="31">
        <v>43812</v>
      </c>
    </row>
    <row r="108" spans="1:3" x14ac:dyDescent="0.25">
      <c r="A108" s="33">
        <v>111</v>
      </c>
      <c r="B108" s="32" t="s">
        <v>335</v>
      </c>
      <c r="C108" s="31">
        <v>43812</v>
      </c>
    </row>
    <row r="109" spans="1:3" x14ac:dyDescent="0.25">
      <c r="A109" s="33">
        <v>112</v>
      </c>
      <c r="B109" s="32" t="s">
        <v>337</v>
      </c>
      <c r="C109" s="31">
        <v>43812</v>
      </c>
    </row>
    <row r="110" spans="1:3" x14ac:dyDescent="0.25">
      <c r="A110" s="33">
        <v>113</v>
      </c>
      <c r="B110" s="32" t="s">
        <v>339</v>
      </c>
      <c r="C110" s="31">
        <v>43812</v>
      </c>
    </row>
    <row r="111" spans="1:3" x14ac:dyDescent="0.25">
      <c r="A111" s="33">
        <v>114</v>
      </c>
      <c r="B111" s="32" t="s">
        <v>340</v>
      </c>
      <c r="C111" s="31">
        <v>43812</v>
      </c>
    </row>
    <row r="112" spans="1:3" x14ac:dyDescent="0.25">
      <c r="A112" s="33">
        <v>115</v>
      </c>
      <c r="B112" s="32" t="s">
        <v>342</v>
      </c>
      <c r="C112" s="31">
        <v>43812</v>
      </c>
    </row>
    <row r="113" spans="1:3" x14ac:dyDescent="0.25">
      <c r="A113" s="33">
        <v>116</v>
      </c>
      <c r="B113" s="32" t="s">
        <v>344</v>
      </c>
      <c r="C113" s="31">
        <v>43812</v>
      </c>
    </row>
    <row r="114" spans="1:3" x14ac:dyDescent="0.25">
      <c r="A114" s="33">
        <v>117</v>
      </c>
      <c r="B114" s="32" t="s">
        <v>345</v>
      </c>
      <c r="C114" s="31">
        <v>43812</v>
      </c>
    </row>
    <row r="115" spans="1:3" x14ac:dyDescent="0.25">
      <c r="A115" s="33">
        <v>118</v>
      </c>
      <c r="B115" s="32" t="s">
        <v>346</v>
      </c>
      <c r="C115" s="31">
        <v>43812</v>
      </c>
    </row>
    <row r="116" spans="1:3" ht="30" x14ac:dyDescent="0.25">
      <c r="A116" s="33">
        <v>119</v>
      </c>
      <c r="B116" s="32" t="s">
        <v>347</v>
      </c>
      <c r="C116" s="31">
        <v>43812</v>
      </c>
    </row>
    <row r="117" spans="1:3" x14ac:dyDescent="0.25">
      <c r="A117" s="33">
        <v>120</v>
      </c>
      <c r="B117" s="32" t="s">
        <v>348</v>
      </c>
      <c r="C117" s="31">
        <v>43812</v>
      </c>
    </row>
    <row r="118" spans="1:3" ht="30" x14ac:dyDescent="0.25">
      <c r="A118" s="33">
        <v>121</v>
      </c>
      <c r="B118" s="32" t="s">
        <v>355</v>
      </c>
      <c r="C118" s="31">
        <v>43812</v>
      </c>
    </row>
    <row r="119" spans="1:3" x14ac:dyDescent="0.25">
      <c r="A119" s="33">
        <v>122</v>
      </c>
      <c r="B119" s="32" t="s">
        <v>357</v>
      </c>
      <c r="C119" s="31">
        <v>43812</v>
      </c>
    </row>
    <row r="120" spans="1:3" x14ac:dyDescent="0.25">
      <c r="A120" s="33">
        <v>123</v>
      </c>
      <c r="B120" s="32" t="s">
        <v>362</v>
      </c>
      <c r="C120" s="31">
        <v>43812</v>
      </c>
    </row>
    <row r="121" spans="1:3" x14ac:dyDescent="0.25">
      <c r="A121" s="33">
        <v>124</v>
      </c>
      <c r="B121" s="32" t="s">
        <v>366</v>
      </c>
      <c r="C121" s="31">
        <v>43812</v>
      </c>
    </row>
    <row r="122" spans="1:3" x14ac:dyDescent="0.25">
      <c r="A122" s="33">
        <v>125</v>
      </c>
      <c r="B122" s="32" t="s">
        <v>367</v>
      </c>
      <c r="C122" s="31">
        <v>43812</v>
      </c>
    </row>
    <row r="123" spans="1:3" x14ac:dyDescent="0.25">
      <c r="A123" s="33">
        <v>126</v>
      </c>
      <c r="B123" s="32" t="s">
        <v>368</v>
      </c>
      <c r="C123" s="31">
        <v>43812</v>
      </c>
    </row>
    <row r="124" spans="1:3" ht="30" x14ac:dyDescent="0.25">
      <c r="A124" s="33">
        <v>127</v>
      </c>
      <c r="B124" s="32" t="s">
        <v>371</v>
      </c>
      <c r="C124" s="31">
        <v>43812</v>
      </c>
    </row>
    <row r="125" spans="1:3" x14ac:dyDescent="0.25">
      <c r="A125" s="33">
        <v>128</v>
      </c>
      <c r="B125" s="32" t="s">
        <v>372</v>
      </c>
      <c r="C125" s="31">
        <v>43812</v>
      </c>
    </row>
    <row r="126" spans="1:3" x14ac:dyDescent="0.25">
      <c r="A126" s="33">
        <v>129</v>
      </c>
      <c r="B126" s="32" t="s">
        <v>402</v>
      </c>
      <c r="C126" s="31">
        <v>43840</v>
      </c>
    </row>
    <row r="127" spans="1:3" x14ac:dyDescent="0.25">
      <c r="A127" s="33">
        <v>130</v>
      </c>
      <c r="B127" s="32" t="s">
        <v>407</v>
      </c>
      <c r="C127" s="31">
        <v>43840</v>
      </c>
    </row>
    <row r="128" spans="1:3" x14ac:dyDescent="0.25">
      <c r="A128" s="33">
        <v>131</v>
      </c>
      <c r="B128" s="32" t="s">
        <v>1163</v>
      </c>
      <c r="C128" s="31">
        <v>43859</v>
      </c>
    </row>
    <row r="129" spans="1:3" x14ac:dyDescent="0.25">
      <c r="A129" s="33">
        <v>132</v>
      </c>
      <c r="B129" s="32" t="s">
        <v>1165</v>
      </c>
      <c r="C129" s="31">
        <v>43863</v>
      </c>
    </row>
    <row r="130" spans="1:3" x14ac:dyDescent="0.25">
      <c r="A130" s="33">
        <v>133</v>
      </c>
      <c r="B130" s="32" t="s">
        <v>1311</v>
      </c>
      <c r="C130" s="31">
        <v>43922</v>
      </c>
    </row>
    <row r="131" spans="1:3" x14ac:dyDescent="0.25">
      <c r="A131" s="33">
        <v>134</v>
      </c>
      <c r="B131" s="32" t="s">
        <v>1424</v>
      </c>
    </row>
    <row r="132" spans="1:3" x14ac:dyDescent="0.25">
      <c r="A132" s="33">
        <v>135</v>
      </c>
      <c r="B132" s="32" t="s">
        <v>1500</v>
      </c>
    </row>
    <row r="133" spans="1:3" x14ac:dyDescent="0.25">
      <c r="A133" s="33">
        <v>136</v>
      </c>
      <c r="B133" s="32" t="s">
        <v>1542</v>
      </c>
    </row>
    <row r="134" spans="1:3" x14ac:dyDescent="0.25">
      <c r="A134" s="33">
        <v>137</v>
      </c>
      <c r="B134" s="32" t="s">
        <v>1526</v>
      </c>
    </row>
    <row r="135" spans="1:3" x14ac:dyDescent="0.25">
      <c r="A135" s="33">
        <v>138</v>
      </c>
      <c r="B135" s="32" t="s">
        <v>104</v>
      </c>
    </row>
    <row r="136" spans="1:3" x14ac:dyDescent="0.25">
      <c r="A136" s="33">
        <v>139</v>
      </c>
      <c r="B136" s="32" t="s">
        <v>1575</v>
      </c>
    </row>
    <row r="137" spans="1:3" x14ac:dyDescent="0.25">
      <c r="A137" s="33">
        <v>140</v>
      </c>
      <c r="B137" s="32" t="s">
        <v>1604</v>
      </c>
      <c r="C137" s="31">
        <v>45039</v>
      </c>
    </row>
    <row r="138" spans="1:3" x14ac:dyDescent="0.25">
      <c r="A138" s="33">
        <v>141</v>
      </c>
      <c r="B138" s="32" t="s">
        <v>1616</v>
      </c>
      <c r="C138" s="31">
        <v>45126</v>
      </c>
    </row>
    <row r="139" spans="1:3" x14ac:dyDescent="0.25">
      <c r="A139" s="33">
        <v>142</v>
      </c>
      <c r="B139" s="32" t="s">
        <v>1487</v>
      </c>
    </row>
    <row r="140" spans="1:3" x14ac:dyDescent="0.25">
      <c r="A140" s="33">
        <v>143</v>
      </c>
      <c r="B140" s="32" t="s">
        <v>1639</v>
      </c>
      <c r="C140" s="31">
        <v>45180</v>
      </c>
    </row>
    <row r="141" spans="1:3" x14ac:dyDescent="0.25">
      <c r="A141" s="33">
        <v>144</v>
      </c>
      <c r="B141" s="32" t="s">
        <v>1640</v>
      </c>
    </row>
    <row r="142" spans="1:3" x14ac:dyDescent="0.25">
      <c r="A142" s="33">
        <v>145</v>
      </c>
      <c r="B142" s="32" t="s">
        <v>1825</v>
      </c>
    </row>
  </sheetData>
  <autoFilter ref="A1:C1" xr:uid="{55C4805C-87A8-4D18-978D-FAFC0E5CA908}">
    <sortState xmlns:xlrd2="http://schemas.microsoft.com/office/spreadsheetml/2017/richdata2" ref="A2:C125">
      <sortCondition ref="A1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A1EA5-6E5D-46A3-AAE6-F062C7845542}">
  <dimension ref="A1:C9"/>
  <sheetViews>
    <sheetView workbookViewId="0">
      <selection activeCell="B12" sqref="B12"/>
    </sheetView>
  </sheetViews>
  <sheetFormatPr defaultRowHeight="15" x14ac:dyDescent="0.25"/>
  <cols>
    <col min="1" max="1" width="16.140625" style="28" customWidth="1"/>
    <col min="2" max="2" width="109.42578125" style="28" customWidth="1"/>
    <col min="3" max="3" width="29.7109375" style="28" bestFit="1" customWidth="1"/>
  </cols>
  <sheetData>
    <row r="1" spans="1:3" x14ac:dyDescent="0.25">
      <c r="A1" s="28" t="s">
        <v>165</v>
      </c>
    </row>
    <row r="3" spans="1:3" s="29" customFormat="1" x14ac:dyDescent="0.25">
      <c r="A3" s="30" t="s">
        <v>166</v>
      </c>
      <c r="B3" s="30" t="s">
        <v>167</v>
      </c>
      <c r="C3" s="30" t="s">
        <v>170</v>
      </c>
    </row>
    <row r="4" spans="1:3" x14ac:dyDescent="0.25">
      <c r="A4" s="31">
        <v>43791</v>
      </c>
      <c r="B4" s="28" t="s">
        <v>168</v>
      </c>
      <c r="C4" s="28" t="s">
        <v>169</v>
      </c>
    </row>
    <row r="5" spans="1:3" x14ac:dyDescent="0.25">
      <c r="A5" s="31">
        <v>43796</v>
      </c>
      <c r="B5" s="28" t="s">
        <v>173</v>
      </c>
      <c r="C5" s="28" t="s">
        <v>169</v>
      </c>
    </row>
    <row r="6" spans="1:3" x14ac:dyDescent="0.25">
      <c r="A6" s="31">
        <v>43803</v>
      </c>
      <c r="B6" s="28" t="s">
        <v>174</v>
      </c>
      <c r="C6" s="28" t="s">
        <v>169</v>
      </c>
    </row>
    <row r="7" spans="1:3" x14ac:dyDescent="0.25">
      <c r="A7" s="31">
        <v>43805</v>
      </c>
      <c r="B7" s="28" t="s">
        <v>176</v>
      </c>
      <c r="C7" s="28" t="s">
        <v>169</v>
      </c>
    </row>
    <row r="8" spans="1:3" x14ac:dyDescent="0.25">
      <c r="A8" s="31">
        <v>43812</v>
      </c>
      <c r="B8" s="28" t="s">
        <v>379</v>
      </c>
      <c r="C8" s="28" t="s">
        <v>169</v>
      </c>
    </row>
    <row r="9" spans="1:3" x14ac:dyDescent="0.25">
      <c r="A9" s="31">
        <v>43817</v>
      </c>
      <c r="B9" s="28" t="s">
        <v>381</v>
      </c>
      <c r="C9" s="28" t="s">
        <v>169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89984-BF6E-44B3-9CCB-640113199F5A}">
  <dimension ref="A1:BJ189"/>
  <sheetViews>
    <sheetView showGridLines="0" zoomScale="110" zoomScaleNormal="110" zoomScaleSheetLayoutView="50" workbookViewId="0">
      <pane xSplit="3" ySplit="5" topLeftCell="D6" activePane="bottomRight" state="frozen"/>
      <selection pane="topRight" activeCell="C1" sqref="C1"/>
      <selection pane="bottomLeft" activeCell="A6" sqref="A6"/>
      <selection pane="bottomRight" activeCell="C86" sqref="C86"/>
    </sheetView>
  </sheetViews>
  <sheetFormatPr defaultRowHeight="15" x14ac:dyDescent="0.25"/>
  <cols>
    <col min="1" max="1" width="10.7109375" style="6" customWidth="1"/>
    <col min="2" max="2" width="24.140625" style="6" customWidth="1"/>
    <col min="3" max="3" width="30.42578125" style="6" customWidth="1"/>
    <col min="4" max="4" width="19.140625" style="6" customWidth="1"/>
    <col min="5" max="6" width="19.28515625" style="6" customWidth="1"/>
    <col min="7" max="7" width="22.7109375" style="17" customWidth="1"/>
    <col min="8" max="8" width="10.5703125" style="21" bestFit="1" customWidth="1"/>
    <col min="9" max="9" width="29.28515625" style="4" customWidth="1"/>
    <col min="10" max="10" width="9.85546875" style="3" customWidth="1"/>
    <col min="11" max="13" width="10.7109375" style="3" customWidth="1"/>
    <col min="14" max="14" width="12.5703125" style="3" customWidth="1"/>
    <col min="15" max="15" width="17.5703125" style="3" customWidth="1"/>
    <col min="16" max="17" width="12.85546875" style="3" customWidth="1"/>
    <col min="18" max="25" width="13.42578125" style="3" customWidth="1"/>
    <col min="26" max="26" width="8.85546875" style="3" customWidth="1"/>
    <col min="27" max="27" width="11.7109375" style="3" customWidth="1"/>
    <col min="28" max="28" width="10.85546875" style="5" customWidth="1"/>
    <col min="29" max="29" width="10.140625" style="5" customWidth="1"/>
    <col min="30" max="30" width="12.140625" style="5" customWidth="1"/>
    <col min="31" max="32" width="12.85546875" style="5" customWidth="1"/>
    <col min="33" max="35" width="13.42578125" style="5" customWidth="1"/>
    <col min="36" max="37" width="13.42578125" style="45" customWidth="1"/>
    <col min="38" max="38" width="43.5703125" style="45" customWidth="1"/>
    <col min="39" max="44" width="11.28515625" style="23" customWidth="1"/>
    <col min="45" max="45" width="11.7109375" style="25" customWidth="1"/>
    <col min="46" max="46" width="11.7109375" style="54" customWidth="1"/>
    <col min="47" max="49" width="11.7109375" style="52" customWidth="1"/>
    <col min="50" max="59" width="9.85546875" style="38" customWidth="1"/>
    <col min="60" max="60" width="9.140625" style="40"/>
    <col min="61" max="61" width="21" style="40" customWidth="1"/>
    <col min="62" max="62" width="9.140625" style="40"/>
  </cols>
  <sheetData>
    <row r="1" spans="1:62" s="1" customFormat="1" ht="47.25" customHeight="1" x14ac:dyDescent="0.25">
      <c r="A1" s="11" t="s">
        <v>53</v>
      </c>
      <c r="B1" s="11" t="s">
        <v>1231</v>
      </c>
      <c r="C1" s="11" t="s">
        <v>30</v>
      </c>
      <c r="D1" s="11" t="s">
        <v>7</v>
      </c>
      <c r="E1" s="11" t="s">
        <v>6</v>
      </c>
      <c r="F1" s="11" t="s">
        <v>3</v>
      </c>
      <c r="G1" s="11" t="s">
        <v>0</v>
      </c>
      <c r="H1" s="18" t="s">
        <v>106</v>
      </c>
      <c r="I1" s="12" t="s">
        <v>1</v>
      </c>
      <c r="J1" s="12" t="s">
        <v>11</v>
      </c>
      <c r="K1" s="12" t="s">
        <v>8</v>
      </c>
      <c r="L1" s="12" t="s">
        <v>139</v>
      </c>
      <c r="M1" s="12" t="s">
        <v>15</v>
      </c>
      <c r="N1" s="12" t="s">
        <v>14</v>
      </c>
      <c r="O1" s="12" t="s">
        <v>19</v>
      </c>
      <c r="P1" s="12" t="s">
        <v>16</v>
      </c>
      <c r="Q1" s="12" t="s">
        <v>17</v>
      </c>
      <c r="R1" s="12" t="s">
        <v>405</v>
      </c>
      <c r="S1" s="12" t="s">
        <v>82</v>
      </c>
      <c r="T1" s="12" t="s">
        <v>386</v>
      </c>
      <c r="U1" s="12" t="s">
        <v>388</v>
      </c>
      <c r="V1" s="12" t="s">
        <v>51</v>
      </c>
      <c r="W1" s="12" t="s">
        <v>77</v>
      </c>
      <c r="X1" s="12" t="s">
        <v>212</v>
      </c>
      <c r="Y1" s="12" t="s">
        <v>172</v>
      </c>
      <c r="Z1" s="12" t="s">
        <v>73</v>
      </c>
      <c r="AA1" s="12" t="s">
        <v>75</v>
      </c>
      <c r="AB1" s="12" t="s">
        <v>21</v>
      </c>
      <c r="AC1" s="12" t="s">
        <v>22</v>
      </c>
      <c r="AD1" s="12" t="s">
        <v>23</v>
      </c>
      <c r="AE1" s="12" t="s">
        <v>24</v>
      </c>
      <c r="AF1" s="12" t="s">
        <v>25</v>
      </c>
      <c r="AG1" s="12" t="s">
        <v>406</v>
      </c>
      <c r="AH1" s="12" t="s">
        <v>158</v>
      </c>
      <c r="AI1" s="12" t="s">
        <v>159</v>
      </c>
      <c r="AJ1" s="47" t="s">
        <v>1315</v>
      </c>
      <c r="AK1" s="47" t="s">
        <v>1314</v>
      </c>
      <c r="AL1" s="47" t="s">
        <v>1312</v>
      </c>
      <c r="AM1" s="14" t="s">
        <v>120</v>
      </c>
      <c r="AN1" s="14" t="s">
        <v>121</v>
      </c>
      <c r="AO1" s="14" t="s">
        <v>123</v>
      </c>
      <c r="AP1" s="14" t="s">
        <v>124</v>
      </c>
      <c r="AQ1" s="14" t="s">
        <v>127</v>
      </c>
      <c r="AR1" s="14" t="s">
        <v>126</v>
      </c>
      <c r="AS1" s="24" t="s">
        <v>134</v>
      </c>
      <c r="AT1" s="53" t="s">
        <v>1552</v>
      </c>
      <c r="AU1" s="51" t="s">
        <v>1546</v>
      </c>
      <c r="AV1" s="51" t="s">
        <v>1547</v>
      </c>
      <c r="AW1" s="51" t="s">
        <v>1550</v>
      </c>
      <c r="AX1" s="14" t="s">
        <v>251</v>
      </c>
      <c r="AY1" s="14" t="s">
        <v>201</v>
      </c>
      <c r="AZ1" s="14" t="s">
        <v>255</v>
      </c>
      <c r="BA1" s="14" t="s">
        <v>202</v>
      </c>
      <c r="BB1" s="14" t="s">
        <v>257</v>
      </c>
      <c r="BC1" s="14" t="s">
        <v>200</v>
      </c>
      <c r="BD1" s="14" t="s">
        <v>204</v>
      </c>
      <c r="BE1" s="14" t="s">
        <v>206</v>
      </c>
      <c r="BF1" s="14" t="s">
        <v>207</v>
      </c>
      <c r="BG1" s="14" t="s">
        <v>210</v>
      </c>
      <c r="BH1" s="42" t="s">
        <v>1152</v>
      </c>
      <c r="BI1" s="42" t="s">
        <v>1413</v>
      </c>
      <c r="BJ1" s="42" t="s">
        <v>1387</v>
      </c>
    </row>
    <row r="2" spans="1:62" s="1" customFormat="1" ht="26.25" customHeight="1" x14ac:dyDescent="0.25">
      <c r="A2" s="11" t="s">
        <v>50</v>
      </c>
      <c r="B2" s="11"/>
      <c r="C2" s="11" t="s">
        <v>49</v>
      </c>
      <c r="D2" s="11" t="s">
        <v>49</v>
      </c>
      <c r="E2" s="11" t="s">
        <v>49</v>
      </c>
      <c r="F2" s="11" t="s">
        <v>49</v>
      </c>
      <c r="G2" s="11" t="s">
        <v>49</v>
      </c>
      <c r="H2" s="18" t="s">
        <v>50</v>
      </c>
      <c r="I2" s="11" t="s">
        <v>49</v>
      </c>
      <c r="J2" s="12" t="s">
        <v>50</v>
      </c>
      <c r="K2" s="12" t="s">
        <v>50</v>
      </c>
      <c r="L2" s="12" t="s">
        <v>50</v>
      </c>
      <c r="M2" s="12" t="s">
        <v>50</v>
      </c>
      <c r="N2" s="12" t="s">
        <v>50</v>
      </c>
      <c r="O2" s="12" t="s">
        <v>49</v>
      </c>
      <c r="P2" s="12" t="s">
        <v>50</v>
      </c>
      <c r="Q2" s="12" t="s">
        <v>50</v>
      </c>
      <c r="R2" s="12" t="s">
        <v>50</v>
      </c>
      <c r="S2" s="12" t="s">
        <v>50</v>
      </c>
      <c r="T2" s="12" t="s">
        <v>50</v>
      </c>
      <c r="U2" s="12" t="s">
        <v>50</v>
      </c>
      <c r="V2" s="12" t="s">
        <v>50</v>
      </c>
      <c r="W2" s="12" t="s">
        <v>49</v>
      </c>
      <c r="X2" s="12" t="s">
        <v>49</v>
      </c>
      <c r="Y2" s="12" t="s">
        <v>50</v>
      </c>
      <c r="Z2" s="12" t="s">
        <v>50</v>
      </c>
      <c r="AA2" s="12" t="s">
        <v>50</v>
      </c>
      <c r="AB2" s="12" t="s">
        <v>50</v>
      </c>
      <c r="AC2" s="12" t="s">
        <v>50</v>
      </c>
      <c r="AD2" s="12" t="s">
        <v>50</v>
      </c>
      <c r="AE2" s="12" t="s">
        <v>50</v>
      </c>
      <c r="AF2" s="12" t="s">
        <v>50</v>
      </c>
      <c r="AG2" s="12" t="s">
        <v>50</v>
      </c>
      <c r="AH2" s="12" t="s">
        <v>50</v>
      </c>
      <c r="AI2" s="12" t="s">
        <v>50</v>
      </c>
      <c r="AJ2" s="43" t="s">
        <v>49</v>
      </c>
      <c r="AK2" s="43" t="s">
        <v>50</v>
      </c>
      <c r="AL2" s="43" t="s">
        <v>49</v>
      </c>
      <c r="AM2" s="14" t="s">
        <v>50</v>
      </c>
      <c r="AN2" s="14" t="s">
        <v>50</v>
      </c>
      <c r="AO2" s="14" t="s">
        <v>50</v>
      </c>
      <c r="AP2" s="14" t="s">
        <v>50</v>
      </c>
      <c r="AQ2" s="14" t="s">
        <v>50</v>
      </c>
      <c r="AR2" s="14" t="s">
        <v>50</v>
      </c>
      <c r="AS2" s="24" t="s">
        <v>50</v>
      </c>
      <c r="AT2" s="53" t="s">
        <v>50</v>
      </c>
      <c r="AU2" s="51" t="s">
        <v>50</v>
      </c>
      <c r="AV2" s="51" t="s">
        <v>50</v>
      </c>
      <c r="AW2" s="51" t="s">
        <v>50</v>
      </c>
      <c r="AX2" s="14" t="s">
        <v>50</v>
      </c>
      <c r="AY2" s="14" t="s">
        <v>50</v>
      </c>
      <c r="AZ2" s="14" t="s">
        <v>50</v>
      </c>
      <c r="BA2" s="14" t="s">
        <v>50</v>
      </c>
      <c r="BB2" s="14" t="s">
        <v>50</v>
      </c>
      <c r="BC2" s="14" t="s">
        <v>50</v>
      </c>
      <c r="BD2" s="14" t="s">
        <v>50</v>
      </c>
      <c r="BE2" s="14" t="s">
        <v>50</v>
      </c>
      <c r="BF2" s="14" t="s">
        <v>50</v>
      </c>
      <c r="BG2" s="14" t="s">
        <v>50</v>
      </c>
      <c r="BH2" s="42" t="s">
        <v>50</v>
      </c>
      <c r="BI2" s="42" t="s">
        <v>49</v>
      </c>
      <c r="BJ2" s="42" t="s">
        <v>1388</v>
      </c>
    </row>
    <row r="3" spans="1:62" s="1" customFormat="1" ht="33" customHeight="1" x14ac:dyDescent="0.25">
      <c r="A3" s="11" t="s">
        <v>54</v>
      </c>
      <c r="B3" s="11"/>
      <c r="C3" s="11" t="s">
        <v>31</v>
      </c>
      <c r="D3" s="11" t="s">
        <v>32</v>
      </c>
      <c r="E3" s="11" t="s">
        <v>33</v>
      </c>
      <c r="F3" s="11" t="s">
        <v>3</v>
      </c>
      <c r="G3" s="11" t="s">
        <v>34</v>
      </c>
      <c r="H3" s="18" t="s">
        <v>107</v>
      </c>
      <c r="I3" s="12" t="s">
        <v>35</v>
      </c>
      <c r="J3" s="12" t="s">
        <v>42</v>
      </c>
      <c r="K3" s="12" t="s">
        <v>41</v>
      </c>
      <c r="L3" s="12" t="s">
        <v>140</v>
      </c>
      <c r="M3" s="12" t="s">
        <v>40</v>
      </c>
      <c r="N3" s="12" t="s">
        <v>39</v>
      </c>
      <c r="O3" s="12" t="s">
        <v>36</v>
      </c>
      <c r="P3" s="12" t="s">
        <v>37</v>
      </c>
      <c r="Q3" s="12" t="s">
        <v>38</v>
      </c>
      <c r="R3" s="12" t="s">
        <v>84</v>
      </c>
      <c r="S3" s="12" t="s">
        <v>83</v>
      </c>
      <c r="T3" s="12" t="s">
        <v>387</v>
      </c>
      <c r="U3" s="12" t="s">
        <v>389</v>
      </c>
      <c r="V3" s="12" t="s">
        <v>52</v>
      </c>
      <c r="W3" s="12" t="s">
        <v>80</v>
      </c>
      <c r="X3" s="12" t="s">
        <v>213</v>
      </c>
      <c r="Y3" s="12" t="s">
        <v>1228</v>
      </c>
      <c r="Z3" s="12" t="s">
        <v>74</v>
      </c>
      <c r="AA3" s="12" t="s">
        <v>76</v>
      </c>
      <c r="AB3" s="12" t="s">
        <v>43</v>
      </c>
      <c r="AC3" s="12" t="s">
        <v>44</v>
      </c>
      <c r="AD3" s="12" t="s">
        <v>45</v>
      </c>
      <c r="AE3" s="12" t="s">
        <v>46</v>
      </c>
      <c r="AF3" s="12" t="s">
        <v>47</v>
      </c>
      <c r="AG3" s="12" t="s">
        <v>48</v>
      </c>
      <c r="AH3" s="12" t="s">
        <v>161</v>
      </c>
      <c r="AI3" s="12" t="s">
        <v>162</v>
      </c>
      <c r="AJ3" s="43" t="s">
        <v>1316</v>
      </c>
      <c r="AK3" s="43" t="s">
        <v>1317</v>
      </c>
      <c r="AL3" s="43" t="s">
        <v>1318</v>
      </c>
      <c r="AM3" s="14" t="s">
        <v>132</v>
      </c>
      <c r="AN3" s="14" t="s">
        <v>131</v>
      </c>
      <c r="AO3" s="14" t="s">
        <v>133</v>
      </c>
      <c r="AP3" s="14" t="s">
        <v>130</v>
      </c>
      <c r="AQ3" s="14" t="s">
        <v>129</v>
      </c>
      <c r="AR3" s="14" t="s">
        <v>128</v>
      </c>
      <c r="AS3" s="24" t="s">
        <v>135</v>
      </c>
      <c r="AT3" s="53" t="s">
        <v>1553</v>
      </c>
      <c r="AU3" s="51" t="s">
        <v>1549</v>
      </c>
      <c r="AV3" s="51" t="s">
        <v>1548</v>
      </c>
      <c r="AW3" s="51" t="s">
        <v>1551</v>
      </c>
      <c r="AX3" s="14" t="s">
        <v>1150</v>
      </c>
      <c r="AY3" s="14" t="s">
        <v>253</v>
      </c>
      <c r="AZ3" s="14" t="s">
        <v>256</v>
      </c>
      <c r="BA3" s="14" t="s">
        <v>203</v>
      </c>
      <c r="BB3" s="14" t="s">
        <v>258</v>
      </c>
      <c r="BC3" s="14" t="s">
        <v>254</v>
      </c>
      <c r="BD3" s="14" t="s">
        <v>205</v>
      </c>
      <c r="BE3" s="14" t="s">
        <v>208</v>
      </c>
      <c r="BF3" s="14" t="s">
        <v>209</v>
      </c>
      <c r="BG3" s="14" t="s">
        <v>211</v>
      </c>
      <c r="BH3" s="42" t="s">
        <v>1151</v>
      </c>
      <c r="BI3" s="42" t="s">
        <v>1414</v>
      </c>
      <c r="BJ3" s="42" t="s">
        <v>1389</v>
      </c>
    </row>
    <row r="4" spans="1:62" s="1" customFormat="1" ht="31.5" customHeight="1" x14ac:dyDescent="0.25">
      <c r="A4" s="11" t="s">
        <v>1420</v>
      </c>
      <c r="B4" s="11"/>
      <c r="C4" s="11" t="s">
        <v>1265</v>
      </c>
      <c r="D4" s="11" t="s">
        <v>1558</v>
      </c>
      <c r="E4" s="11" t="s">
        <v>33</v>
      </c>
      <c r="F4" s="11" t="s">
        <v>3</v>
      </c>
      <c r="G4" s="11" t="s">
        <v>1534</v>
      </c>
      <c r="H4" s="18" t="s">
        <v>1267</v>
      </c>
      <c r="I4" s="11" t="s">
        <v>1266</v>
      </c>
      <c r="J4" s="12" t="s">
        <v>1268</v>
      </c>
      <c r="K4" s="12" t="s">
        <v>1269</v>
      </c>
      <c r="L4" s="12" t="s">
        <v>1527</v>
      </c>
      <c r="M4" s="12" t="s">
        <v>1531</v>
      </c>
      <c r="N4" s="12" t="s">
        <v>1532</v>
      </c>
      <c r="O4" s="12" t="s">
        <v>1234</v>
      </c>
      <c r="P4" s="12" t="s">
        <v>1236</v>
      </c>
      <c r="Q4" s="12" t="s">
        <v>1235</v>
      </c>
      <c r="R4" s="12" t="s">
        <v>1528</v>
      </c>
      <c r="S4" s="12" t="s">
        <v>1277</v>
      </c>
      <c r="T4" s="12" t="s">
        <v>1276</v>
      </c>
      <c r="U4" s="12" t="s">
        <v>1250</v>
      </c>
      <c r="V4" s="12" t="s">
        <v>1533</v>
      </c>
      <c r="W4" s="12" t="s">
        <v>1282</v>
      </c>
      <c r="X4" s="12" t="s">
        <v>1283</v>
      </c>
      <c r="Y4" s="12" t="s">
        <v>1284</v>
      </c>
      <c r="Z4" s="12" t="s">
        <v>1529</v>
      </c>
      <c r="AA4" s="12" t="s">
        <v>1530</v>
      </c>
      <c r="AB4" s="12" t="s">
        <v>1285</v>
      </c>
      <c r="AC4" s="12" t="s">
        <v>1286</v>
      </c>
      <c r="AD4" s="12" t="s">
        <v>1287</v>
      </c>
      <c r="AE4" s="12" t="s">
        <v>1555</v>
      </c>
      <c r="AF4" s="12" t="s">
        <v>1556</v>
      </c>
      <c r="AG4" s="12" t="s">
        <v>1557</v>
      </c>
      <c r="AH4" s="12" t="s">
        <v>1288</v>
      </c>
      <c r="AI4" s="12" t="s">
        <v>1289</v>
      </c>
      <c r="AJ4" s="43" t="s">
        <v>1316</v>
      </c>
      <c r="AK4" s="43" t="s">
        <v>1317</v>
      </c>
      <c r="AL4" s="43" t="s">
        <v>1318</v>
      </c>
      <c r="AM4" s="14" t="s">
        <v>1292</v>
      </c>
      <c r="AN4" s="14" t="s">
        <v>1291</v>
      </c>
      <c r="AO4" s="14" t="s">
        <v>1290</v>
      </c>
      <c r="AP4" s="14" t="s">
        <v>1293</v>
      </c>
      <c r="AQ4" s="14" t="s">
        <v>1294</v>
      </c>
      <c r="AR4" s="14" t="s">
        <v>1295</v>
      </c>
      <c r="AS4" s="24" t="s">
        <v>1306</v>
      </c>
      <c r="AT4" s="53" t="s">
        <v>1553</v>
      </c>
      <c r="AU4" s="51" t="s">
        <v>1549</v>
      </c>
      <c r="AV4" s="51" t="s">
        <v>1548</v>
      </c>
      <c r="AW4" s="51" t="s">
        <v>1551</v>
      </c>
      <c r="AX4" s="14" t="s">
        <v>1305</v>
      </c>
      <c r="AY4" s="14" t="s">
        <v>1296</v>
      </c>
      <c r="AZ4" s="14" t="s">
        <v>1297</v>
      </c>
      <c r="BA4" s="14" t="s">
        <v>1298</v>
      </c>
      <c r="BB4" s="14" t="s">
        <v>258</v>
      </c>
      <c r="BC4" s="14" t="s">
        <v>1299</v>
      </c>
      <c r="BD4" s="14" t="s">
        <v>1300</v>
      </c>
      <c r="BE4" s="14" t="s">
        <v>1301</v>
      </c>
      <c r="BF4" s="14" t="s">
        <v>1302</v>
      </c>
      <c r="BG4" s="14" t="s">
        <v>1303</v>
      </c>
      <c r="BH4" s="42" t="s">
        <v>1304</v>
      </c>
      <c r="BI4" s="42" t="s">
        <v>1414</v>
      </c>
      <c r="BJ4" s="42" t="s">
        <v>1389</v>
      </c>
    </row>
    <row r="5" spans="1:62" s="2" customFormat="1" ht="33" customHeight="1" x14ac:dyDescent="0.25">
      <c r="A5" s="13"/>
      <c r="B5" s="13"/>
      <c r="C5" s="13"/>
      <c r="D5" s="13" t="s">
        <v>29</v>
      </c>
      <c r="E5" s="13"/>
      <c r="F5" s="13"/>
      <c r="G5" s="13" t="s">
        <v>105</v>
      </c>
      <c r="H5" s="19"/>
      <c r="I5" s="14" t="s">
        <v>9</v>
      </c>
      <c r="J5" s="14" t="s">
        <v>12</v>
      </c>
      <c r="K5" s="14" t="s">
        <v>10</v>
      </c>
      <c r="L5" s="14" t="s">
        <v>141</v>
      </c>
      <c r="M5" s="14" t="s">
        <v>20</v>
      </c>
      <c r="N5" s="14" t="s">
        <v>13</v>
      </c>
      <c r="O5" s="14"/>
      <c r="P5" s="14" t="s">
        <v>13</v>
      </c>
      <c r="Q5" s="14" t="s">
        <v>13</v>
      </c>
      <c r="R5" s="14" t="s">
        <v>18</v>
      </c>
      <c r="S5" s="14" t="s">
        <v>18</v>
      </c>
      <c r="T5" s="14" t="s">
        <v>10</v>
      </c>
      <c r="U5" s="14" t="s">
        <v>13</v>
      </c>
      <c r="V5" s="14" t="s">
        <v>18</v>
      </c>
      <c r="W5" s="14" t="s">
        <v>78</v>
      </c>
      <c r="X5" s="14" t="s">
        <v>214</v>
      </c>
      <c r="Y5" s="14" t="s">
        <v>171</v>
      </c>
      <c r="Z5" s="14" t="s">
        <v>18</v>
      </c>
      <c r="AA5" s="14" t="s">
        <v>18</v>
      </c>
      <c r="AB5" s="14" t="s">
        <v>27</v>
      </c>
      <c r="AC5" s="14" t="s">
        <v>26</v>
      </c>
      <c r="AD5" s="14" t="s">
        <v>26</v>
      </c>
      <c r="AE5" s="14" t="s">
        <v>26</v>
      </c>
      <c r="AF5" s="14" t="s">
        <v>26</v>
      </c>
      <c r="AG5" s="14" t="s">
        <v>28</v>
      </c>
      <c r="AH5" s="27" t="s">
        <v>160</v>
      </c>
      <c r="AI5" s="27" t="s">
        <v>160</v>
      </c>
      <c r="AJ5" s="43"/>
      <c r="AK5" s="46" t="s">
        <v>1313</v>
      </c>
      <c r="AL5" s="43"/>
      <c r="AM5" s="14" t="s">
        <v>136</v>
      </c>
      <c r="AN5" s="14" t="s">
        <v>122</v>
      </c>
      <c r="AO5" s="14" t="s">
        <v>12</v>
      </c>
      <c r="AP5" s="14" t="s">
        <v>125</v>
      </c>
      <c r="AQ5" s="14" t="s">
        <v>125</v>
      </c>
      <c r="AR5" s="14" t="s">
        <v>125</v>
      </c>
      <c r="AS5" s="24" t="s">
        <v>137</v>
      </c>
      <c r="AT5" s="53" t="s">
        <v>1554</v>
      </c>
      <c r="AU5" s="51" t="s">
        <v>12</v>
      </c>
      <c r="AV5" s="51" t="s">
        <v>136</v>
      </c>
      <c r="AW5" s="51" t="s">
        <v>1554</v>
      </c>
      <c r="AX5" s="2" t="s">
        <v>252</v>
      </c>
      <c r="BH5" s="39"/>
      <c r="BI5" s="39"/>
      <c r="BJ5" s="39"/>
    </row>
    <row r="6" spans="1:62" x14ac:dyDescent="0.25">
      <c r="A6" s="7">
        <v>35</v>
      </c>
      <c r="B6" s="7" t="s">
        <v>1671</v>
      </c>
      <c r="C6" s="7" t="s">
        <v>191</v>
      </c>
      <c r="D6" s="7"/>
      <c r="E6" s="7"/>
      <c r="F6" s="7"/>
      <c r="G6" s="17">
        <v>4585.125</v>
      </c>
      <c r="H6" s="20">
        <v>-8</v>
      </c>
      <c r="I6" s="8">
        <f>G6+H6/24</f>
        <v>4584.791666666667</v>
      </c>
      <c r="J6" s="9"/>
      <c r="K6" s="9"/>
      <c r="L6" s="9"/>
      <c r="M6" s="9"/>
      <c r="N6" s="9"/>
      <c r="O6" s="9"/>
      <c r="P6" s="9">
        <v>34.9</v>
      </c>
      <c r="Q6" s="9">
        <v>-110.1833</v>
      </c>
      <c r="R6" s="9"/>
      <c r="S6" s="9"/>
      <c r="T6" s="9"/>
      <c r="U6" s="9"/>
      <c r="V6" s="9"/>
      <c r="W6" s="9"/>
      <c r="X6" s="9" t="s">
        <v>382</v>
      </c>
      <c r="Y6" s="9">
        <v>0</v>
      </c>
      <c r="AB6" s="10"/>
      <c r="AC6" s="10"/>
      <c r="AD6" s="10"/>
      <c r="AE6" s="10"/>
      <c r="AF6" s="10"/>
      <c r="AG6" s="10"/>
      <c r="AH6" s="10"/>
      <c r="AI6" s="10"/>
      <c r="AJ6" s="44" t="s">
        <v>1320</v>
      </c>
      <c r="AK6" s="44">
        <v>0</v>
      </c>
      <c r="AL6" s="44"/>
      <c r="AM6" s="22"/>
      <c r="AN6" s="22"/>
      <c r="AS6" s="25">
        <v>0</v>
      </c>
      <c r="AT6" s="54">
        <v>0</v>
      </c>
      <c r="AU6" s="52">
        <v>0</v>
      </c>
      <c r="AV6" s="52">
        <v>0</v>
      </c>
      <c r="AW6" s="52">
        <v>0</v>
      </c>
      <c r="BH6" s="40">
        <v>0</v>
      </c>
      <c r="BI6" s="40" t="s">
        <v>1416</v>
      </c>
      <c r="BJ6" s="40">
        <v>0</v>
      </c>
    </row>
    <row r="7" spans="1:62" x14ac:dyDescent="0.25">
      <c r="A7" s="7">
        <v>74</v>
      </c>
      <c r="B7" s="7" t="s">
        <v>1709</v>
      </c>
      <c r="C7" s="7" t="s">
        <v>1322</v>
      </c>
      <c r="D7" s="7" t="s">
        <v>1322</v>
      </c>
      <c r="E7" s="7" t="s">
        <v>1323</v>
      </c>
      <c r="F7" s="7" t="s">
        <v>4</v>
      </c>
      <c r="G7" s="17">
        <v>14152.625</v>
      </c>
      <c r="H7" s="20">
        <v>-6</v>
      </c>
      <c r="I7" s="8">
        <v>14152.375</v>
      </c>
      <c r="J7" s="9">
        <v>25</v>
      </c>
      <c r="K7" s="9">
        <v>20000</v>
      </c>
      <c r="L7" s="9">
        <f>J7*K7^2/2/4.184/10^12</f>
        <v>1.1950286806883363E-3</v>
      </c>
      <c r="M7" s="9">
        <v>244.77</v>
      </c>
      <c r="N7" s="9">
        <v>35</v>
      </c>
      <c r="O7" s="9" t="s">
        <v>124</v>
      </c>
      <c r="P7" s="9">
        <v>39.142685999999998</v>
      </c>
      <c r="Q7" s="9">
        <v>-89.669224999999997</v>
      </c>
      <c r="R7" s="9">
        <v>210</v>
      </c>
      <c r="S7" s="9">
        <v>210</v>
      </c>
      <c r="T7" s="9">
        <v>225</v>
      </c>
      <c r="U7" s="9">
        <v>12.4833</v>
      </c>
      <c r="V7" s="9">
        <v>20000</v>
      </c>
      <c r="W7" s="9" t="s">
        <v>79</v>
      </c>
      <c r="X7" s="9" t="s">
        <v>242</v>
      </c>
      <c r="Y7" s="9">
        <v>3690</v>
      </c>
      <c r="Z7" s="3">
        <v>60000</v>
      </c>
      <c r="AA7" s="3">
        <v>60000</v>
      </c>
      <c r="AB7" s="10">
        <v>10000</v>
      </c>
      <c r="AC7" s="10">
        <v>1</v>
      </c>
      <c r="AD7" s="10">
        <v>20</v>
      </c>
      <c r="AE7" s="10">
        <v>0</v>
      </c>
      <c r="AF7" s="10">
        <v>0</v>
      </c>
      <c r="AG7" s="10">
        <v>0</v>
      </c>
      <c r="AH7" s="10">
        <v>-1.5</v>
      </c>
      <c r="AI7" s="10">
        <v>1.5</v>
      </c>
      <c r="AJ7" s="44" t="s">
        <v>1324</v>
      </c>
      <c r="AK7" s="44">
        <v>15</v>
      </c>
      <c r="AL7" s="44"/>
      <c r="AM7" s="22"/>
      <c r="AN7" s="22">
        <v>1</v>
      </c>
      <c r="AO7" s="23">
        <v>1.7709999999999999</v>
      </c>
      <c r="AP7" s="23">
        <v>1771</v>
      </c>
      <c r="AQ7" s="23">
        <v>1771</v>
      </c>
      <c r="AR7" s="25">
        <v>1771</v>
      </c>
      <c r="AS7" s="25">
        <v>0</v>
      </c>
      <c r="AT7" s="54">
        <v>0</v>
      </c>
      <c r="AU7" s="52">
        <v>0</v>
      </c>
      <c r="AV7" s="52">
        <v>0</v>
      </c>
      <c r="AW7" s="52">
        <v>0</v>
      </c>
      <c r="BF7" s="40"/>
      <c r="BG7"/>
      <c r="BH7"/>
      <c r="BI7" s="40" t="s">
        <v>1416</v>
      </c>
      <c r="BJ7" s="40">
        <v>0</v>
      </c>
    </row>
    <row r="8" spans="1:62" x14ac:dyDescent="0.25">
      <c r="A8" s="6">
        <v>43</v>
      </c>
      <c r="B8" s="6" t="s">
        <v>1679</v>
      </c>
      <c r="C8" s="6" t="s">
        <v>198</v>
      </c>
      <c r="G8" s="17">
        <v>14910</v>
      </c>
      <c r="H8" s="20">
        <v>5.5</v>
      </c>
      <c r="I8" s="8">
        <f>G8+H8/24</f>
        <v>14910.229166666666</v>
      </c>
      <c r="L8" s="9"/>
      <c r="P8" s="3">
        <v>22.25</v>
      </c>
      <c r="Q8" s="3">
        <v>79</v>
      </c>
      <c r="W8" s="9"/>
      <c r="X8" s="9" t="s">
        <v>382</v>
      </c>
      <c r="Y8" s="9">
        <v>0</v>
      </c>
      <c r="AH8" s="10"/>
      <c r="AI8" s="10"/>
      <c r="AJ8" s="44" t="s">
        <v>1320</v>
      </c>
      <c r="AK8" s="44">
        <v>0</v>
      </c>
      <c r="AL8" s="44"/>
      <c r="AO8" s="23">
        <v>0.69099999999999995</v>
      </c>
      <c r="AS8" s="25">
        <v>0</v>
      </c>
      <c r="AT8" s="54">
        <v>0</v>
      </c>
      <c r="AU8" s="52">
        <v>0</v>
      </c>
      <c r="AV8" s="52">
        <v>0</v>
      </c>
      <c r="AW8" s="52">
        <v>0</v>
      </c>
      <c r="AY8" s="38">
        <v>137</v>
      </c>
      <c r="BH8" s="40">
        <v>0</v>
      </c>
      <c r="BI8" s="40" t="s">
        <v>1416</v>
      </c>
      <c r="BJ8" s="40">
        <v>0</v>
      </c>
    </row>
    <row r="9" spans="1:62" x14ac:dyDescent="0.25">
      <c r="A9" s="7">
        <v>37</v>
      </c>
      <c r="B9" s="7" t="s">
        <v>1673</v>
      </c>
      <c r="C9" s="6" t="s">
        <v>193</v>
      </c>
      <c r="E9" s="6" t="s">
        <v>1022</v>
      </c>
      <c r="F9" s="6" t="s">
        <v>1467</v>
      </c>
      <c r="G9" s="17">
        <v>15453.708333333334</v>
      </c>
      <c r="H9" s="20">
        <v>2</v>
      </c>
      <c r="I9" s="8">
        <f>G9+H9/24</f>
        <v>15453.791666666668</v>
      </c>
      <c r="L9" s="9"/>
      <c r="P9" s="3">
        <v>4.7</v>
      </c>
      <c r="Q9" s="3">
        <v>33.633299999999998</v>
      </c>
      <c r="W9" s="9"/>
      <c r="X9" s="9" t="s">
        <v>382</v>
      </c>
      <c r="Y9" s="9">
        <v>0</v>
      </c>
      <c r="AH9" s="10"/>
      <c r="AI9" s="10"/>
      <c r="AJ9" s="44" t="s">
        <v>1320</v>
      </c>
      <c r="AK9" s="44">
        <v>0</v>
      </c>
      <c r="AL9" s="44"/>
      <c r="AN9" s="23">
        <v>1</v>
      </c>
      <c r="AO9" s="23">
        <v>11</v>
      </c>
      <c r="AP9" s="23">
        <v>11</v>
      </c>
      <c r="AS9" s="25">
        <v>0</v>
      </c>
      <c r="AT9" s="54">
        <v>0</v>
      </c>
      <c r="AU9" s="52">
        <v>0</v>
      </c>
      <c r="AV9" s="52">
        <v>0</v>
      </c>
      <c r="AW9" s="52">
        <v>0</v>
      </c>
      <c r="BH9" s="40">
        <v>0</v>
      </c>
      <c r="BI9" s="40" t="s">
        <v>1416</v>
      </c>
      <c r="BJ9" s="40">
        <v>0</v>
      </c>
    </row>
    <row r="10" spans="1:62" x14ac:dyDescent="0.25">
      <c r="A10" s="7">
        <v>44</v>
      </c>
      <c r="B10" s="7" t="s">
        <v>1680</v>
      </c>
      <c r="C10" s="6" t="s">
        <v>199</v>
      </c>
      <c r="G10" s="17">
        <v>17210.020833333332</v>
      </c>
      <c r="H10" s="20">
        <v>10</v>
      </c>
      <c r="I10" s="8">
        <f>G10+H10/24</f>
        <v>17210.4375</v>
      </c>
      <c r="L10" s="9"/>
      <c r="P10" s="3">
        <v>46.16</v>
      </c>
      <c r="Q10" s="3">
        <v>134.6533</v>
      </c>
      <c r="X10" s="9" t="s">
        <v>382</v>
      </c>
      <c r="Y10" s="3">
        <v>0</v>
      </c>
      <c r="AH10" s="10"/>
      <c r="AI10" s="10"/>
      <c r="AJ10" s="44" t="s">
        <v>1320</v>
      </c>
      <c r="AK10" s="44">
        <v>0</v>
      </c>
      <c r="AL10" s="44"/>
      <c r="AS10" s="25">
        <v>0</v>
      </c>
      <c r="AT10" s="54">
        <v>0</v>
      </c>
      <c r="AU10" s="52">
        <v>0</v>
      </c>
      <c r="AV10" s="52">
        <v>0</v>
      </c>
      <c r="AW10" s="52">
        <v>0</v>
      </c>
      <c r="BH10" s="40">
        <v>0</v>
      </c>
      <c r="BI10" s="40" t="s">
        <v>1416</v>
      </c>
      <c r="BJ10" s="40">
        <v>0</v>
      </c>
    </row>
    <row r="11" spans="1:62" x14ac:dyDescent="0.25">
      <c r="A11" s="6">
        <v>32</v>
      </c>
      <c r="B11" s="6" t="s">
        <v>1669</v>
      </c>
      <c r="C11" s="6" t="s">
        <v>189</v>
      </c>
      <c r="F11" s="6" t="s">
        <v>524</v>
      </c>
      <c r="G11" s="17">
        <v>19311</v>
      </c>
      <c r="H11" s="20"/>
      <c r="I11" s="8"/>
      <c r="L11" s="9"/>
      <c r="P11" s="3">
        <v>7.05</v>
      </c>
      <c r="Q11" s="3">
        <v>12.433299999999999</v>
      </c>
      <c r="X11" s="3" t="s">
        <v>382</v>
      </c>
      <c r="Y11" s="3">
        <v>0</v>
      </c>
      <c r="AH11" s="10"/>
      <c r="AI11" s="10"/>
      <c r="AJ11" s="44" t="s">
        <v>1320</v>
      </c>
      <c r="AK11" s="44">
        <v>0</v>
      </c>
      <c r="AL11" s="44"/>
      <c r="AS11" s="25">
        <v>0</v>
      </c>
      <c r="AT11" s="54">
        <v>0</v>
      </c>
      <c r="AU11" s="52">
        <v>0</v>
      </c>
      <c r="AV11" s="52">
        <v>0</v>
      </c>
      <c r="AW11" s="52">
        <v>0</v>
      </c>
      <c r="BH11" s="40">
        <v>0</v>
      </c>
      <c r="BI11" s="40" t="s">
        <v>1416</v>
      </c>
      <c r="BJ11" s="40">
        <v>0</v>
      </c>
    </row>
    <row r="12" spans="1:62" x14ac:dyDescent="0.25">
      <c r="A12" s="7">
        <v>41</v>
      </c>
      <c r="B12" s="7" t="s">
        <v>1677</v>
      </c>
      <c r="C12" s="6" t="s">
        <v>196</v>
      </c>
      <c r="G12" s="17">
        <v>21647.812627314815</v>
      </c>
      <c r="H12" s="20"/>
      <c r="I12" s="8"/>
      <c r="K12" s="3">
        <v>20930</v>
      </c>
      <c r="L12" s="9"/>
      <c r="P12" s="3">
        <v>49.51</v>
      </c>
      <c r="Q12" s="3">
        <v>14.83</v>
      </c>
      <c r="T12" s="3">
        <v>20930</v>
      </c>
      <c r="X12" s="3" t="s">
        <v>239</v>
      </c>
      <c r="Y12" s="3">
        <v>3570</v>
      </c>
      <c r="AB12" s="5">
        <v>10</v>
      </c>
      <c r="AC12" s="5">
        <v>0</v>
      </c>
      <c r="AH12" s="10"/>
      <c r="AI12" s="10"/>
      <c r="AJ12" s="44" t="s">
        <v>1320</v>
      </c>
      <c r="AK12" s="44">
        <v>0</v>
      </c>
      <c r="AL12" s="44"/>
      <c r="AS12" s="25">
        <v>0</v>
      </c>
      <c r="AT12" s="54">
        <v>0</v>
      </c>
      <c r="AU12" s="52">
        <v>0</v>
      </c>
      <c r="AV12" s="52">
        <v>0</v>
      </c>
      <c r="AW12" s="52">
        <v>0</v>
      </c>
      <c r="AX12" s="38">
        <v>12</v>
      </c>
      <c r="AY12" s="38">
        <v>5</v>
      </c>
      <c r="AZ12" s="38">
        <v>78</v>
      </c>
      <c r="BA12" s="38">
        <v>51</v>
      </c>
      <c r="BB12" s="38">
        <v>52</v>
      </c>
      <c r="BC12" s="38" t="s">
        <v>259</v>
      </c>
      <c r="BD12" s="38">
        <v>31</v>
      </c>
      <c r="BE12" s="38">
        <v>39</v>
      </c>
      <c r="BF12" s="38">
        <v>40</v>
      </c>
      <c r="BG12" s="38" t="s">
        <v>259</v>
      </c>
      <c r="BH12" s="40">
        <v>0</v>
      </c>
      <c r="BI12" s="40" t="s">
        <v>1416</v>
      </c>
      <c r="BJ12" s="40">
        <v>0</v>
      </c>
    </row>
    <row r="13" spans="1:62" x14ac:dyDescent="0.25">
      <c r="A13" s="6">
        <v>42</v>
      </c>
      <c r="B13" s="6" t="s">
        <v>1678</v>
      </c>
      <c r="C13" s="6" t="s">
        <v>197</v>
      </c>
      <c r="G13" s="17">
        <v>22805.75</v>
      </c>
      <c r="H13" s="20">
        <v>1</v>
      </c>
      <c r="I13" s="8">
        <f>G13+H13/24</f>
        <v>22805.791666666668</v>
      </c>
      <c r="L13" s="9"/>
      <c r="P13" s="3">
        <v>50.766599999999997</v>
      </c>
      <c r="Q13" s="3">
        <v>3</v>
      </c>
      <c r="X13" s="3" t="s">
        <v>382</v>
      </c>
      <c r="Y13" s="3">
        <v>0</v>
      </c>
      <c r="AH13" s="10"/>
      <c r="AI13" s="10"/>
      <c r="AJ13" s="44" t="s">
        <v>1320</v>
      </c>
      <c r="AK13" s="44">
        <v>0</v>
      </c>
      <c r="AL13" s="44"/>
      <c r="AN13" s="23">
        <v>6</v>
      </c>
      <c r="AO13" s="23">
        <v>4.95</v>
      </c>
      <c r="AS13" s="25">
        <v>0</v>
      </c>
      <c r="AT13" s="54">
        <v>0</v>
      </c>
      <c r="AU13" s="52">
        <v>0</v>
      </c>
      <c r="AV13" s="52">
        <v>0</v>
      </c>
      <c r="AW13" s="52">
        <v>0</v>
      </c>
      <c r="AY13" s="38">
        <v>137</v>
      </c>
      <c r="BH13" s="40">
        <v>0</v>
      </c>
      <c r="BI13" s="40" t="s">
        <v>1416</v>
      </c>
      <c r="BJ13" s="40">
        <v>0</v>
      </c>
    </row>
    <row r="14" spans="1:62" x14ac:dyDescent="0.25">
      <c r="A14" s="7">
        <v>128</v>
      </c>
      <c r="B14" s="7" t="s">
        <v>1758</v>
      </c>
      <c r="C14" s="6" t="s">
        <v>1468</v>
      </c>
      <c r="F14" s="6" t="s">
        <v>883</v>
      </c>
      <c r="G14" s="17">
        <v>22922</v>
      </c>
      <c r="H14" s="20"/>
      <c r="I14" s="8"/>
      <c r="L14" s="9"/>
      <c r="P14" s="3">
        <v>11.7333</v>
      </c>
      <c r="Q14" s="3">
        <v>7.0833000000000004</v>
      </c>
      <c r="X14" s="9"/>
      <c r="AH14" s="10"/>
      <c r="AI14" s="10"/>
      <c r="AJ14" s="44"/>
      <c r="AK14" s="44"/>
      <c r="AL14" s="44"/>
      <c r="AS14" s="25">
        <v>0</v>
      </c>
      <c r="AT14" s="54">
        <v>0</v>
      </c>
      <c r="AU14" s="52">
        <v>0</v>
      </c>
      <c r="AV14" s="52">
        <v>0</v>
      </c>
      <c r="AW14" s="52">
        <v>0</v>
      </c>
    </row>
    <row r="15" spans="1:62" x14ac:dyDescent="0.25">
      <c r="A15" s="6">
        <v>40</v>
      </c>
      <c r="B15" s="6" t="s">
        <v>1676</v>
      </c>
      <c r="C15" s="6" t="s">
        <v>195</v>
      </c>
      <c r="F15" s="6" t="s">
        <v>631</v>
      </c>
      <c r="G15" s="17">
        <v>23511.752083333333</v>
      </c>
      <c r="H15" s="20">
        <v>2</v>
      </c>
      <c r="I15" s="8">
        <f>G15+H15/24</f>
        <v>23511.835416666665</v>
      </c>
      <c r="L15" s="9"/>
      <c r="P15" s="3">
        <v>43.883299999999998</v>
      </c>
      <c r="Q15" s="3">
        <v>1.3833</v>
      </c>
      <c r="X15" s="9" t="s">
        <v>382</v>
      </c>
      <c r="Y15" s="3">
        <v>0</v>
      </c>
      <c r="AH15" s="10"/>
      <c r="AI15" s="10"/>
      <c r="AJ15" s="44" t="s">
        <v>1320</v>
      </c>
      <c r="AK15" s="44">
        <v>0</v>
      </c>
      <c r="AL15" s="44"/>
      <c r="AS15" s="25">
        <v>0</v>
      </c>
      <c r="AT15" s="54">
        <v>0</v>
      </c>
      <c r="AU15" s="52">
        <v>0</v>
      </c>
      <c r="AV15" s="52">
        <v>0</v>
      </c>
      <c r="AW15" s="52">
        <v>0</v>
      </c>
      <c r="BH15" s="40">
        <v>0</v>
      </c>
      <c r="BI15" s="40" t="s">
        <v>1416</v>
      </c>
      <c r="BJ15" s="40">
        <v>0</v>
      </c>
    </row>
    <row r="16" spans="1:62" x14ac:dyDescent="0.25">
      <c r="A16" s="7">
        <v>45</v>
      </c>
      <c r="B16" s="7" t="s">
        <v>1681</v>
      </c>
      <c r="C16" s="6" t="s">
        <v>225</v>
      </c>
      <c r="G16" s="17">
        <v>25572.09304398148</v>
      </c>
      <c r="H16" s="20"/>
      <c r="I16" s="8"/>
      <c r="K16" s="3">
        <v>14235</v>
      </c>
      <c r="L16" s="9"/>
      <c r="P16" s="3">
        <v>36.005000000000003</v>
      </c>
      <c r="Q16" s="3">
        <v>-95.09</v>
      </c>
      <c r="T16" s="3">
        <v>14235</v>
      </c>
      <c r="X16" s="3" t="s">
        <v>239</v>
      </c>
      <c r="Y16" s="3">
        <v>0</v>
      </c>
      <c r="AB16" s="5">
        <v>2</v>
      </c>
      <c r="AH16" s="10"/>
      <c r="AI16" s="10"/>
      <c r="AJ16" s="44" t="s">
        <v>1320</v>
      </c>
      <c r="AK16" s="44">
        <v>0</v>
      </c>
      <c r="AL16" s="44"/>
      <c r="AS16" s="25">
        <v>0</v>
      </c>
      <c r="AT16" s="54">
        <v>0</v>
      </c>
      <c r="AU16" s="52">
        <v>0</v>
      </c>
      <c r="AV16" s="52">
        <v>0</v>
      </c>
      <c r="AW16" s="52">
        <v>0</v>
      </c>
      <c r="AX16" s="38">
        <v>8</v>
      </c>
      <c r="AY16" s="38">
        <v>5</v>
      </c>
      <c r="AZ16" s="38">
        <v>79</v>
      </c>
      <c r="BA16" s="38" t="s">
        <v>259</v>
      </c>
      <c r="BB16" s="38">
        <v>53</v>
      </c>
      <c r="BC16" s="38" t="s">
        <v>259</v>
      </c>
      <c r="BD16" s="38">
        <v>23</v>
      </c>
      <c r="BE16" s="38">
        <v>24</v>
      </c>
      <c r="BF16" s="38">
        <v>25</v>
      </c>
      <c r="BG16" s="38" t="s">
        <v>259</v>
      </c>
      <c r="BH16" s="40">
        <v>0</v>
      </c>
      <c r="BI16" s="40" t="s">
        <v>1416</v>
      </c>
      <c r="BJ16" s="40">
        <v>0</v>
      </c>
    </row>
    <row r="17" spans="1:62" x14ac:dyDescent="0.25">
      <c r="A17" s="6">
        <v>46</v>
      </c>
      <c r="B17" s="6" t="s">
        <v>1682</v>
      </c>
      <c r="C17" s="6" t="s">
        <v>226</v>
      </c>
      <c r="G17" s="17">
        <v>28162.095578703702</v>
      </c>
      <c r="H17" s="20"/>
      <c r="I17" s="8"/>
      <c r="K17" s="3">
        <v>14500</v>
      </c>
      <c r="L17" s="9"/>
      <c r="P17" s="3">
        <v>53.414999999999999</v>
      </c>
      <c r="Q17" s="3">
        <v>-111.33799999999999</v>
      </c>
      <c r="T17" s="3">
        <v>14500</v>
      </c>
      <c r="X17" s="9" t="s">
        <v>240</v>
      </c>
      <c r="Y17" s="3">
        <v>0</v>
      </c>
      <c r="AB17" s="5">
        <v>100</v>
      </c>
      <c r="AH17" s="10"/>
      <c r="AI17" s="10"/>
      <c r="AJ17" s="44" t="s">
        <v>1320</v>
      </c>
      <c r="AK17" s="44">
        <v>0</v>
      </c>
      <c r="AL17" s="44"/>
      <c r="AS17" s="25">
        <v>0</v>
      </c>
      <c r="AT17" s="54">
        <v>0</v>
      </c>
      <c r="AU17" s="52">
        <v>0</v>
      </c>
      <c r="AV17" s="52">
        <v>0</v>
      </c>
      <c r="AW17" s="52">
        <v>0</v>
      </c>
      <c r="AX17" s="38">
        <v>27</v>
      </c>
      <c r="AY17" s="38">
        <v>5</v>
      </c>
      <c r="AZ17" s="38">
        <v>80</v>
      </c>
      <c r="BA17" s="38" t="s">
        <v>259</v>
      </c>
      <c r="BB17" s="38">
        <v>54</v>
      </c>
      <c r="BC17" s="38" t="s">
        <v>259</v>
      </c>
      <c r="BD17" s="38">
        <v>18</v>
      </c>
      <c r="BE17" s="38">
        <v>19</v>
      </c>
      <c r="BF17" s="38" t="s">
        <v>259</v>
      </c>
      <c r="BG17" s="38" t="s">
        <v>259</v>
      </c>
      <c r="BH17" s="40">
        <v>0</v>
      </c>
      <c r="BI17" s="40" t="s">
        <v>1416</v>
      </c>
      <c r="BJ17" s="40">
        <v>0</v>
      </c>
    </row>
    <row r="18" spans="1:62" x14ac:dyDescent="0.25">
      <c r="A18" s="7">
        <v>36</v>
      </c>
      <c r="B18" s="7" t="s">
        <v>1672</v>
      </c>
      <c r="C18" s="6" t="s">
        <v>192</v>
      </c>
      <c r="D18" s="6" t="s">
        <v>192</v>
      </c>
      <c r="E18" s="6" t="s">
        <v>1466</v>
      </c>
      <c r="F18" s="6" t="s">
        <v>1134</v>
      </c>
      <c r="G18" s="17">
        <v>29558.197916666668</v>
      </c>
      <c r="H18" s="20">
        <v>3</v>
      </c>
      <c r="I18" s="8">
        <f>G18+H18/24</f>
        <v>29558.322916666668</v>
      </c>
      <c r="L18" s="9"/>
      <c r="P18" s="3">
        <v>15</v>
      </c>
      <c r="Q18" s="3">
        <v>48.3</v>
      </c>
      <c r="X18" s="9" t="s">
        <v>382</v>
      </c>
      <c r="Y18" s="3">
        <v>0</v>
      </c>
      <c r="AH18" s="10"/>
      <c r="AI18" s="10"/>
      <c r="AJ18" s="44" t="s">
        <v>1320</v>
      </c>
      <c r="AK18" s="44">
        <v>0</v>
      </c>
      <c r="AL18" s="44"/>
      <c r="AN18" s="23">
        <v>1</v>
      </c>
      <c r="AO18" s="23">
        <v>0.84164000000000005</v>
      </c>
      <c r="AP18" s="23">
        <v>0.84164000000000005</v>
      </c>
      <c r="AS18" s="25">
        <v>0</v>
      </c>
      <c r="AT18" s="54">
        <v>0</v>
      </c>
      <c r="AU18" s="52">
        <v>0</v>
      </c>
      <c r="AV18" s="52">
        <v>0</v>
      </c>
      <c r="AW18" s="52">
        <v>0</v>
      </c>
      <c r="BH18" s="40">
        <v>0</v>
      </c>
      <c r="BI18" s="40" t="s">
        <v>1416</v>
      </c>
      <c r="BJ18" s="40">
        <v>0</v>
      </c>
    </row>
    <row r="19" spans="1:62" x14ac:dyDescent="0.25">
      <c r="A19" s="6">
        <v>47</v>
      </c>
      <c r="B19" s="6" t="s">
        <v>1683</v>
      </c>
      <c r="C19" s="6" t="s">
        <v>186</v>
      </c>
      <c r="G19" s="17">
        <v>33365.961018518516</v>
      </c>
      <c r="H19" s="20"/>
      <c r="I19" s="8"/>
      <c r="K19" s="3">
        <v>21272</v>
      </c>
      <c r="L19" s="9"/>
      <c r="P19" s="3">
        <v>49.661999999999999</v>
      </c>
      <c r="Q19" s="3">
        <v>14.635</v>
      </c>
      <c r="T19" s="3">
        <v>21272</v>
      </c>
      <c r="X19" s="9" t="s">
        <v>241</v>
      </c>
      <c r="Y19" s="3">
        <v>0</v>
      </c>
      <c r="AB19" s="5">
        <v>5</v>
      </c>
      <c r="AH19" s="10"/>
      <c r="AI19" s="10"/>
      <c r="AJ19" s="44" t="s">
        <v>1320</v>
      </c>
      <c r="AK19" s="44">
        <v>0</v>
      </c>
      <c r="AL19" s="44"/>
      <c r="AS19" s="25">
        <v>0</v>
      </c>
      <c r="AT19" s="54">
        <v>0</v>
      </c>
      <c r="AU19" s="52">
        <v>0</v>
      </c>
      <c r="AV19" s="52">
        <v>0</v>
      </c>
      <c r="AW19" s="52">
        <v>0</v>
      </c>
      <c r="AX19" s="38">
        <v>-1</v>
      </c>
      <c r="AY19" s="38">
        <v>5</v>
      </c>
      <c r="AZ19" s="38">
        <v>81</v>
      </c>
      <c r="BA19" s="38" t="s">
        <v>259</v>
      </c>
      <c r="BB19" s="38" t="s">
        <v>259</v>
      </c>
      <c r="BC19" s="38" t="s">
        <v>259</v>
      </c>
      <c r="BD19" s="38">
        <v>9</v>
      </c>
      <c r="BE19" s="38">
        <v>10</v>
      </c>
      <c r="BF19" s="38" t="s">
        <v>259</v>
      </c>
      <c r="BG19" s="38" t="s">
        <v>259</v>
      </c>
      <c r="BH19" s="40">
        <v>0</v>
      </c>
      <c r="BI19" s="40" t="s">
        <v>1416</v>
      </c>
      <c r="BJ19" s="40">
        <v>0</v>
      </c>
    </row>
    <row r="20" spans="1:62" x14ac:dyDescent="0.25">
      <c r="A20" s="7">
        <v>48</v>
      </c>
      <c r="B20" s="7" t="s">
        <v>1684</v>
      </c>
      <c r="C20" s="6" t="s">
        <v>227</v>
      </c>
      <c r="G20" s="17">
        <v>33886.991666666669</v>
      </c>
      <c r="H20" s="20"/>
      <c r="I20" s="8"/>
      <c r="K20" s="3">
        <v>14720</v>
      </c>
      <c r="L20" s="9"/>
      <c r="N20" s="3">
        <v>76</v>
      </c>
      <c r="P20" s="3">
        <v>39.662999999999997</v>
      </c>
      <c r="Q20" s="3">
        <v>-78.206000000000003</v>
      </c>
      <c r="T20" s="3">
        <v>14720</v>
      </c>
      <c r="X20" s="3" t="s">
        <v>242</v>
      </c>
      <c r="Y20" s="3">
        <v>0</v>
      </c>
      <c r="AB20" s="5">
        <v>50</v>
      </c>
      <c r="AH20" s="10"/>
      <c r="AI20" s="10"/>
      <c r="AJ20" s="44" t="s">
        <v>1320</v>
      </c>
      <c r="AK20" s="44">
        <v>0</v>
      </c>
      <c r="AL20" s="44"/>
      <c r="AS20" s="25">
        <v>0</v>
      </c>
      <c r="AT20" s="54">
        <v>0</v>
      </c>
      <c r="AU20" s="52">
        <v>0</v>
      </c>
      <c r="AV20" s="52">
        <v>0</v>
      </c>
      <c r="AW20" s="52">
        <v>0</v>
      </c>
      <c r="AX20" s="38">
        <v>31</v>
      </c>
      <c r="AY20" s="38">
        <v>5</v>
      </c>
      <c r="AZ20" s="38">
        <v>82</v>
      </c>
      <c r="BA20" s="38" t="s">
        <v>259</v>
      </c>
      <c r="BB20" s="38">
        <v>55</v>
      </c>
      <c r="BC20" s="38" t="s">
        <v>259</v>
      </c>
      <c r="BD20" s="38">
        <v>31</v>
      </c>
      <c r="BE20" s="38">
        <v>37</v>
      </c>
      <c r="BF20" s="38">
        <v>24</v>
      </c>
      <c r="BG20" s="38" t="s">
        <v>259</v>
      </c>
      <c r="BH20" s="40">
        <v>0</v>
      </c>
      <c r="BI20" s="40" t="s">
        <v>1416</v>
      </c>
      <c r="BJ20" s="40">
        <v>0</v>
      </c>
    </row>
    <row r="21" spans="1:62" x14ac:dyDescent="0.25">
      <c r="A21" s="6">
        <v>28</v>
      </c>
      <c r="B21" s="6" t="s">
        <v>1666</v>
      </c>
      <c r="C21" s="6" t="s">
        <v>177</v>
      </c>
      <c r="D21" s="6" t="s">
        <v>185</v>
      </c>
      <c r="E21" s="6" t="s">
        <v>183</v>
      </c>
      <c r="F21" s="6" t="s">
        <v>103</v>
      </c>
      <c r="G21" s="17">
        <v>36543.697025462963</v>
      </c>
      <c r="H21" s="20">
        <v>-8</v>
      </c>
      <c r="I21" s="8">
        <f>G21+H21/24</f>
        <v>36543.363692129627</v>
      </c>
      <c r="J21" s="3">
        <v>58500</v>
      </c>
      <c r="K21" s="3">
        <v>15800</v>
      </c>
      <c r="L21" s="9">
        <f>J21*K21^2/2/4.184/10^12</f>
        <v>1.7452127151051624</v>
      </c>
      <c r="M21" s="3">
        <v>150.69999999999999</v>
      </c>
      <c r="N21" s="3">
        <v>72.2</v>
      </c>
      <c r="O21" s="3" t="s">
        <v>184</v>
      </c>
      <c r="P21" s="3">
        <v>60.04</v>
      </c>
      <c r="Q21" s="3">
        <v>-134.64500000000001</v>
      </c>
      <c r="R21" s="3">
        <v>37600</v>
      </c>
      <c r="S21" s="3">
        <v>37600</v>
      </c>
      <c r="T21" s="3">
        <v>15800</v>
      </c>
      <c r="U21" s="3">
        <v>72.2</v>
      </c>
      <c r="V21" s="3">
        <v>29000</v>
      </c>
      <c r="W21" s="3" t="s">
        <v>111</v>
      </c>
      <c r="X21" s="9" t="s">
        <v>217</v>
      </c>
      <c r="Y21" s="3">
        <v>1640</v>
      </c>
      <c r="Z21" s="3">
        <v>85000</v>
      </c>
      <c r="AA21" s="3">
        <v>85000</v>
      </c>
      <c r="AB21" s="5">
        <v>600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10">
        <v>-1.5</v>
      </c>
      <c r="AI21" s="10">
        <v>1.5</v>
      </c>
      <c r="AJ21" s="44" t="s">
        <v>1320</v>
      </c>
      <c r="AK21" s="44">
        <v>0</v>
      </c>
      <c r="AL21" s="44"/>
      <c r="AM21" s="23">
        <v>23.65</v>
      </c>
      <c r="AN21" s="23">
        <v>424</v>
      </c>
      <c r="AO21" s="23">
        <v>16.3</v>
      </c>
      <c r="AP21" s="23">
        <v>2</v>
      </c>
      <c r="AQ21" s="23">
        <v>0</v>
      </c>
      <c r="AR21" s="23">
        <v>0</v>
      </c>
      <c r="AS21" s="25">
        <f>AN21/AM21</f>
        <v>17.928118393234673</v>
      </c>
      <c r="AT21" s="54">
        <f>AO21/AM21*1000</f>
        <v>689.21775898520093</v>
      </c>
      <c r="AU21" s="52">
        <v>0</v>
      </c>
      <c r="AV21" s="52">
        <v>0</v>
      </c>
      <c r="AW21" s="52">
        <v>0</v>
      </c>
      <c r="AX21" s="38">
        <v>3</v>
      </c>
      <c r="AY21" s="38">
        <v>5</v>
      </c>
      <c r="AZ21" s="38">
        <v>45</v>
      </c>
      <c r="BA21" s="38">
        <v>44</v>
      </c>
      <c r="BB21" s="38">
        <v>56</v>
      </c>
      <c r="BC21" s="38" t="s">
        <v>259</v>
      </c>
      <c r="BD21" s="38">
        <v>43</v>
      </c>
      <c r="BE21" s="38">
        <v>44</v>
      </c>
      <c r="BF21" s="38">
        <v>45</v>
      </c>
      <c r="BG21" s="38" t="s">
        <v>259</v>
      </c>
      <c r="BH21" s="40">
        <v>3</v>
      </c>
      <c r="BI21" s="40" t="s">
        <v>1416</v>
      </c>
      <c r="BJ21" s="40">
        <v>0</v>
      </c>
    </row>
    <row r="22" spans="1:62" x14ac:dyDescent="0.25">
      <c r="A22" s="7">
        <v>49</v>
      </c>
      <c r="B22" s="7" t="s">
        <v>1685</v>
      </c>
      <c r="C22" s="6" t="s">
        <v>228</v>
      </c>
      <c r="G22" s="17">
        <v>36652.494328703702</v>
      </c>
      <c r="K22" s="3">
        <v>22500</v>
      </c>
      <c r="L22" s="9"/>
      <c r="P22" s="3">
        <v>50.23</v>
      </c>
      <c r="Q22" s="3">
        <v>18.45</v>
      </c>
      <c r="T22" s="3">
        <v>22500</v>
      </c>
      <c r="X22" s="9" t="s">
        <v>239</v>
      </c>
      <c r="Y22" s="3">
        <v>3590</v>
      </c>
      <c r="AB22" s="5">
        <v>300</v>
      </c>
      <c r="AH22" s="10"/>
      <c r="AI22" s="10"/>
      <c r="AJ22" s="44" t="s">
        <v>1320</v>
      </c>
      <c r="AK22" s="44">
        <v>0</v>
      </c>
      <c r="AL22" s="44"/>
      <c r="AS22" s="25">
        <v>0</v>
      </c>
      <c r="AT22" s="54">
        <v>0</v>
      </c>
      <c r="AU22" s="52">
        <v>0</v>
      </c>
      <c r="AV22" s="52">
        <v>0</v>
      </c>
      <c r="AW22" s="52">
        <v>0</v>
      </c>
      <c r="AX22" s="38">
        <v>6.7</v>
      </c>
      <c r="AY22" s="38">
        <v>5</v>
      </c>
      <c r="AZ22" s="38">
        <v>33</v>
      </c>
      <c r="BA22" s="38">
        <v>33</v>
      </c>
      <c r="BB22" s="38">
        <v>33</v>
      </c>
      <c r="BC22" s="38" t="s">
        <v>259</v>
      </c>
      <c r="BD22" s="38">
        <v>31</v>
      </c>
      <c r="BE22" s="38">
        <v>31</v>
      </c>
      <c r="BF22" s="38" t="s">
        <v>259</v>
      </c>
      <c r="BG22" s="38" t="s">
        <v>259</v>
      </c>
      <c r="BH22" s="40">
        <v>0</v>
      </c>
      <c r="BI22" s="40" t="s">
        <v>1416</v>
      </c>
      <c r="BJ22" s="40">
        <v>0</v>
      </c>
    </row>
    <row r="23" spans="1:62" x14ac:dyDescent="0.25">
      <c r="A23" s="6">
        <v>39</v>
      </c>
      <c r="B23" s="6" t="s">
        <v>1675</v>
      </c>
      <c r="C23" s="6" t="s">
        <v>194</v>
      </c>
      <c r="G23" s="17">
        <v>37352.847418981481</v>
      </c>
      <c r="K23" s="3">
        <v>20960</v>
      </c>
      <c r="L23" s="9"/>
      <c r="P23" s="3">
        <v>47.304000000000002</v>
      </c>
      <c r="Q23" s="3">
        <v>11.552</v>
      </c>
      <c r="T23" s="3">
        <v>20960</v>
      </c>
      <c r="X23" s="3" t="s">
        <v>243</v>
      </c>
      <c r="Y23" s="3">
        <v>3500</v>
      </c>
      <c r="AB23" s="5">
        <v>40</v>
      </c>
      <c r="AH23" s="10"/>
      <c r="AI23" s="10"/>
      <c r="AJ23" s="44" t="s">
        <v>1320</v>
      </c>
      <c r="AK23" s="44">
        <v>0</v>
      </c>
      <c r="AL23" s="44"/>
      <c r="AS23" s="25">
        <v>0</v>
      </c>
      <c r="AT23" s="54">
        <v>0</v>
      </c>
      <c r="AU23" s="52">
        <v>0</v>
      </c>
      <c r="AV23" s="52">
        <v>0</v>
      </c>
      <c r="AW23" s="52">
        <v>0</v>
      </c>
      <c r="AX23" s="38">
        <v>47</v>
      </c>
      <c r="AY23" s="38">
        <v>5</v>
      </c>
      <c r="AZ23" s="38">
        <v>57</v>
      </c>
      <c r="BA23" s="38">
        <v>58</v>
      </c>
      <c r="BB23" s="38">
        <v>57</v>
      </c>
      <c r="BC23" s="38" t="s">
        <v>259</v>
      </c>
      <c r="BD23" s="38">
        <v>33</v>
      </c>
      <c r="BE23" s="38">
        <v>34</v>
      </c>
      <c r="BF23" s="38" t="s">
        <v>259</v>
      </c>
      <c r="BG23" s="38" t="s">
        <v>259</v>
      </c>
      <c r="BH23" s="40">
        <v>0</v>
      </c>
      <c r="BI23" s="40" t="s">
        <v>1416</v>
      </c>
      <c r="BJ23" s="40">
        <v>0</v>
      </c>
    </row>
    <row r="24" spans="1:62" x14ac:dyDescent="0.25">
      <c r="A24" s="6">
        <v>4</v>
      </c>
      <c r="B24" s="6" t="s">
        <v>1645</v>
      </c>
      <c r="C24" s="6" t="s">
        <v>60</v>
      </c>
      <c r="D24" s="6" t="s">
        <v>60</v>
      </c>
      <c r="E24" s="6" t="s">
        <v>61</v>
      </c>
      <c r="F24" s="6" t="s">
        <v>4</v>
      </c>
      <c r="G24" s="17">
        <v>37707.243361111112</v>
      </c>
      <c r="H24" s="21">
        <v>-6</v>
      </c>
      <c r="I24" s="4">
        <f>G24+H24/24</f>
        <v>37706.993361111112</v>
      </c>
      <c r="J24" s="3">
        <v>9023</v>
      </c>
      <c r="K24" s="3">
        <v>19500</v>
      </c>
      <c r="L24" s="26">
        <f>J24*K24^2/2/4.184/10^12</f>
        <v>0.41001383245697892</v>
      </c>
      <c r="M24" s="3">
        <v>21</v>
      </c>
      <c r="N24" s="3">
        <v>29</v>
      </c>
      <c r="O24" s="3" t="s">
        <v>1334</v>
      </c>
      <c r="P24" s="3">
        <v>41.46</v>
      </c>
      <c r="Q24" s="3">
        <v>-87.73</v>
      </c>
      <c r="R24" s="3">
        <v>18000</v>
      </c>
      <c r="S24" s="3">
        <v>19000</v>
      </c>
      <c r="T24" s="3">
        <v>19500</v>
      </c>
      <c r="U24" s="3">
        <v>29</v>
      </c>
      <c r="V24" s="3">
        <v>17000</v>
      </c>
      <c r="W24" s="3" t="s">
        <v>115</v>
      </c>
      <c r="X24" s="3" t="s">
        <v>244</v>
      </c>
      <c r="Y24" s="3">
        <v>3370</v>
      </c>
      <c r="Z24" s="3">
        <v>85000</v>
      </c>
      <c r="AA24" s="3">
        <v>85000</v>
      </c>
      <c r="AB24" s="5">
        <v>300</v>
      </c>
      <c r="AC24" s="5">
        <v>0</v>
      </c>
      <c r="AD24" s="5">
        <v>0</v>
      </c>
      <c r="AE24" s="5">
        <v>0</v>
      </c>
      <c r="AF24" s="5">
        <v>0</v>
      </c>
      <c r="AG24" s="5">
        <v>300</v>
      </c>
      <c r="AH24" s="5">
        <v>-1</v>
      </c>
      <c r="AI24" s="5">
        <v>1</v>
      </c>
      <c r="AJ24" s="44" t="s">
        <v>1320</v>
      </c>
      <c r="AK24" s="44">
        <v>0</v>
      </c>
      <c r="AM24" s="23">
        <v>34.17</v>
      </c>
      <c r="AN24" s="23">
        <v>133</v>
      </c>
      <c r="AO24" s="23">
        <v>18</v>
      </c>
      <c r="AP24" s="23">
        <v>0</v>
      </c>
      <c r="AQ24" s="23">
        <v>0</v>
      </c>
      <c r="AR24" s="23">
        <v>0</v>
      </c>
      <c r="AS24" s="25">
        <f>AN24/AM24</f>
        <v>3.8923031899326892</v>
      </c>
      <c r="AT24" s="54">
        <f>AO24/AM24*1000</f>
        <v>526.77787532923617</v>
      </c>
      <c r="AU24" s="52">
        <v>899.3</v>
      </c>
      <c r="AV24" s="52">
        <v>27</v>
      </c>
      <c r="AW24" s="52">
        <f>AU24/AV24*1000</f>
        <v>33307.407407407401</v>
      </c>
      <c r="AX24" s="38">
        <v>14</v>
      </c>
      <c r="AY24" s="38">
        <v>5</v>
      </c>
      <c r="AZ24" s="38">
        <v>24</v>
      </c>
      <c r="BA24" s="38">
        <v>59</v>
      </c>
      <c r="BB24" s="38">
        <v>60</v>
      </c>
      <c r="BC24" s="38" t="s">
        <v>259</v>
      </c>
      <c r="BD24" s="38">
        <v>36</v>
      </c>
      <c r="BE24" s="38" t="s">
        <v>259</v>
      </c>
      <c r="BF24" s="38" t="s">
        <v>259</v>
      </c>
      <c r="BG24" s="38" t="s">
        <v>259</v>
      </c>
      <c r="BH24" s="40">
        <v>3</v>
      </c>
      <c r="BI24" s="40" t="s">
        <v>1416</v>
      </c>
      <c r="BJ24" s="40">
        <v>0</v>
      </c>
    </row>
    <row r="25" spans="1:62" x14ac:dyDescent="0.25">
      <c r="A25" s="6">
        <v>50</v>
      </c>
      <c r="B25" s="6" t="s">
        <v>1686</v>
      </c>
      <c r="C25" s="6" t="s">
        <v>229</v>
      </c>
      <c r="G25" s="17">
        <v>37990.699131944442</v>
      </c>
      <c r="K25" s="3">
        <v>16900</v>
      </c>
      <c r="L25" s="9"/>
      <c r="P25" s="3">
        <v>42.771000000000001</v>
      </c>
      <c r="Q25" s="3">
        <v>-4.7889999999999997</v>
      </c>
      <c r="T25" s="3">
        <v>16900</v>
      </c>
      <c r="X25" s="3" t="s">
        <v>245</v>
      </c>
      <c r="Y25" s="3">
        <v>3420</v>
      </c>
      <c r="AB25" s="5">
        <v>40</v>
      </c>
      <c r="AJ25" s="44" t="s">
        <v>1320</v>
      </c>
      <c r="AK25" s="44">
        <v>0</v>
      </c>
      <c r="AS25" s="25">
        <v>0</v>
      </c>
      <c r="AT25" s="54">
        <v>0</v>
      </c>
      <c r="AU25" s="52">
        <v>0</v>
      </c>
      <c r="AV25" s="52">
        <v>0</v>
      </c>
      <c r="AW25" s="52">
        <v>0</v>
      </c>
      <c r="AX25" s="38">
        <v>48</v>
      </c>
      <c r="AY25" s="38">
        <v>5</v>
      </c>
      <c r="AZ25" s="38">
        <v>47</v>
      </c>
      <c r="BA25" s="38">
        <v>47</v>
      </c>
      <c r="BB25" s="38">
        <v>47</v>
      </c>
      <c r="BC25" s="38" t="s">
        <v>259</v>
      </c>
      <c r="BD25" s="38">
        <v>46</v>
      </c>
      <c r="BE25" s="38">
        <v>47</v>
      </c>
      <c r="BF25" s="38" t="s">
        <v>259</v>
      </c>
      <c r="BG25" s="38" t="s">
        <v>259</v>
      </c>
      <c r="BH25" s="40">
        <v>0</v>
      </c>
      <c r="BI25" s="40" t="s">
        <v>1416</v>
      </c>
      <c r="BJ25" s="40">
        <v>0</v>
      </c>
    </row>
    <row r="26" spans="1:62" x14ac:dyDescent="0.25">
      <c r="A26" s="6">
        <v>61</v>
      </c>
      <c r="B26" s="6" t="s">
        <v>1697</v>
      </c>
      <c r="C26" s="6" t="s">
        <v>383</v>
      </c>
      <c r="D26" s="6" t="s">
        <v>383</v>
      </c>
      <c r="E26" s="6" t="s">
        <v>385</v>
      </c>
      <c r="F26" s="6" t="s">
        <v>384</v>
      </c>
      <c r="G26" s="17">
        <v>39060.271666666667</v>
      </c>
      <c r="H26" s="21">
        <v>2</v>
      </c>
      <c r="I26" s="4">
        <f>G26+H26/24</f>
        <v>39060.355000000003</v>
      </c>
      <c r="J26" s="3">
        <v>465681</v>
      </c>
      <c r="K26" s="3">
        <v>17100</v>
      </c>
      <c r="L26" s="9">
        <f>J26*K26^2/2/4.184/10^12</f>
        <v>16.272679398900571</v>
      </c>
      <c r="M26" s="3">
        <v>278.709</v>
      </c>
      <c r="N26" s="3">
        <v>87.27</v>
      </c>
      <c r="O26" s="3" t="s">
        <v>1270</v>
      </c>
      <c r="P26" s="3">
        <v>26.2</v>
      </c>
      <c r="Q26" s="3">
        <v>26</v>
      </c>
      <c r="R26" s="3">
        <v>26500</v>
      </c>
      <c r="S26" s="3">
        <v>40700</v>
      </c>
      <c r="T26" s="3">
        <v>15860</v>
      </c>
      <c r="U26" s="3">
        <v>85.509</v>
      </c>
      <c r="V26" s="3">
        <v>15000</v>
      </c>
      <c r="W26" s="3" t="s">
        <v>144</v>
      </c>
      <c r="X26" s="3" t="s">
        <v>382</v>
      </c>
      <c r="Y26" s="3">
        <v>0</v>
      </c>
      <c r="Z26" s="3">
        <v>85000</v>
      </c>
      <c r="AA26" s="3">
        <v>85000</v>
      </c>
      <c r="AB26" s="5">
        <v>500</v>
      </c>
      <c r="AC26" s="5">
        <v>3</v>
      </c>
      <c r="AD26" s="5">
        <v>3</v>
      </c>
      <c r="AE26" s="5">
        <v>0.05</v>
      </c>
      <c r="AF26" s="5">
        <v>0.05</v>
      </c>
      <c r="AG26" s="5">
        <v>500</v>
      </c>
      <c r="AH26" s="5">
        <v>-1.5</v>
      </c>
      <c r="AI26" s="5">
        <v>1.5</v>
      </c>
      <c r="AJ26" s="44" t="s">
        <v>1320</v>
      </c>
      <c r="AK26" s="44">
        <v>0</v>
      </c>
      <c r="AM26" s="23">
        <v>0</v>
      </c>
      <c r="AN26" s="23">
        <v>0</v>
      </c>
      <c r="AO26" s="23">
        <v>0</v>
      </c>
      <c r="AP26" s="23">
        <v>0</v>
      </c>
      <c r="AQ26" s="23">
        <v>0</v>
      </c>
      <c r="AR26" s="23">
        <v>0</v>
      </c>
      <c r="AS26" s="25">
        <v>0</v>
      </c>
      <c r="AT26" s="54">
        <v>0</v>
      </c>
      <c r="AU26" s="52">
        <v>0</v>
      </c>
      <c r="AV26" s="52">
        <v>0</v>
      </c>
      <c r="AW26" s="52">
        <v>0</v>
      </c>
      <c r="BH26" s="40">
        <v>2</v>
      </c>
      <c r="BI26" s="40" t="s">
        <v>1416</v>
      </c>
      <c r="BJ26" s="40">
        <v>0</v>
      </c>
    </row>
    <row r="27" spans="1:62" x14ac:dyDescent="0.25">
      <c r="A27" s="6">
        <v>29</v>
      </c>
      <c r="B27" s="6" t="s">
        <v>1667</v>
      </c>
      <c r="C27" s="6" t="s">
        <v>187</v>
      </c>
      <c r="G27" s="17">
        <v>39283.80128472222</v>
      </c>
      <c r="K27" s="3">
        <v>13395</v>
      </c>
      <c r="L27" s="9"/>
      <c r="P27" s="3">
        <v>-31.45</v>
      </c>
      <c r="Q27" s="3">
        <v>129.827</v>
      </c>
      <c r="T27" s="3">
        <v>13395</v>
      </c>
      <c r="X27" s="3" t="s">
        <v>246</v>
      </c>
      <c r="Y27" s="3">
        <v>0</v>
      </c>
      <c r="AB27" s="5">
        <v>7</v>
      </c>
      <c r="AH27" s="10"/>
      <c r="AI27" s="10"/>
      <c r="AJ27" s="44" t="s">
        <v>1320</v>
      </c>
      <c r="AK27" s="44">
        <v>0</v>
      </c>
      <c r="AL27" s="44"/>
      <c r="AS27" s="25">
        <v>0</v>
      </c>
      <c r="AT27" s="54">
        <v>0</v>
      </c>
      <c r="AU27" s="52">
        <v>0</v>
      </c>
      <c r="AV27" s="52">
        <v>0</v>
      </c>
      <c r="AW27" s="52">
        <v>0</v>
      </c>
      <c r="AX27" s="38">
        <v>22</v>
      </c>
      <c r="AY27" s="38">
        <v>5</v>
      </c>
      <c r="AZ27" s="38">
        <v>61</v>
      </c>
      <c r="BA27" s="38" t="s">
        <v>259</v>
      </c>
      <c r="BB27" s="38">
        <v>62</v>
      </c>
      <c r="BC27" s="38" t="s">
        <v>259</v>
      </c>
      <c r="BD27" s="38">
        <v>11</v>
      </c>
      <c r="BE27" s="38" t="s">
        <v>259</v>
      </c>
      <c r="BF27" s="38" t="s">
        <v>259</v>
      </c>
      <c r="BG27" s="38" t="s">
        <v>259</v>
      </c>
      <c r="BH27" s="40">
        <v>0</v>
      </c>
      <c r="BI27" s="40" t="s">
        <v>1416</v>
      </c>
      <c r="BJ27" s="40">
        <v>0</v>
      </c>
    </row>
    <row r="28" spans="1:62" x14ac:dyDescent="0.25">
      <c r="A28" s="6">
        <v>31</v>
      </c>
      <c r="B28" s="6" t="s">
        <v>1668</v>
      </c>
      <c r="C28" s="6" t="s">
        <v>188</v>
      </c>
      <c r="D28" s="6" t="s">
        <v>188</v>
      </c>
      <c r="E28" s="6" t="s">
        <v>1465</v>
      </c>
      <c r="F28" s="6" t="s">
        <v>918</v>
      </c>
      <c r="G28" s="17">
        <v>39340.697916666664</v>
      </c>
      <c r="H28" s="21">
        <v>-5</v>
      </c>
      <c r="I28" s="4">
        <f>G28+H28/24</f>
        <v>39340.489583333328</v>
      </c>
      <c r="J28" s="3">
        <v>1100</v>
      </c>
      <c r="K28" s="3">
        <v>15000</v>
      </c>
      <c r="L28" s="36">
        <f>J28*K28^2/2/4.184/10^12</f>
        <v>2.9576959847036326E-2</v>
      </c>
      <c r="P28" s="3">
        <v>-16.664444</v>
      </c>
      <c r="Q28" s="3">
        <v>-69.043888999999993</v>
      </c>
      <c r="X28" s="3" t="s">
        <v>382</v>
      </c>
      <c r="Y28" s="3">
        <v>0</v>
      </c>
      <c r="AH28" s="10"/>
      <c r="AI28" s="10"/>
      <c r="AJ28" s="44" t="s">
        <v>1320</v>
      </c>
      <c r="AK28" s="44">
        <v>0</v>
      </c>
      <c r="AL28" s="44"/>
      <c r="AS28" s="25">
        <v>0</v>
      </c>
      <c r="AT28" s="54">
        <v>0</v>
      </c>
      <c r="AU28" s="52">
        <v>0</v>
      </c>
      <c r="AV28" s="52">
        <v>0</v>
      </c>
      <c r="AW28" s="52">
        <v>0</v>
      </c>
      <c r="BH28" s="40">
        <v>0</v>
      </c>
      <c r="BI28" s="40" t="s">
        <v>1416</v>
      </c>
      <c r="BJ28" s="40">
        <v>0</v>
      </c>
    </row>
    <row r="29" spans="1:62" x14ac:dyDescent="0.25">
      <c r="A29" s="6">
        <v>9</v>
      </c>
      <c r="B29" s="6" t="s">
        <v>1650</v>
      </c>
      <c r="C29" s="6" t="s">
        <v>67</v>
      </c>
      <c r="D29" s="6" t="s">
        <v>68</v>
      </c>
      <c r="E29" s="6" t="s">
        <v>69</v>
      </c>
      <c r="F29" s="6" t="s">
        <v>4</v>
      </c>
      <c r="G29" s="17">
        <v>39630.736331018517</v>
      </c>
      <c r="H29" s="21">
        <v>-7</v>
      </c>
      <c r="I29" s="4">
        <f>G29+H29/24</f>
        <v>39630.444664351853</v>
      </c>
      <c r="J29" s="3">
        <v>10455</v>
      </c>
      <c r="K29" s="3">
        <v>9800</v>
      </c>
      <c r="L29" s="36">
        <f>J29*K29^2/2/4.184/10^12</f>
        <v>0.11999261472275334</v>
      </c>
      <c r="M29" s="3">
        <v>162.55053012274499</v>
      </c>
      <c r="N29" s="3">
        <v>37.576681130695825</v>
      </c>
      <c r="O29" s="3" t="s">
        <v>1270</v>
      </c>
      <c r="P29" s="3">
        <v>37.1</v>
      </c>
      <c r="Q29" s="3">
        <v>-115.7</v>
      </c>
      <c r="R29" s="3">
        <v>36100</v>
      </c>
      <c r="S29" s="3">
        <v>36100</v>
      </c>
      <c r="T29" s="3">
        <v>9800</v>
      </c>
      <c r="U29" s="3">
        <v>37.576681130695825</v>
      </c>
      <c r="V29" s="3">
        <v>18000</v>
      </c>
      <c r="W29" s="3" t="s">
        <v>81</v>
      </c>
      <c r="X29" s="3" t="s">
        <v>382</v>
      </c>
      <c r="Y29" s="3">
        <v>0</v>
      </c>
      <c r="Z29" s="3">
        <v>85000</v>
      </c>
      <c r="AA29" s="3">
        <v>85000</v>
      </c>
      <c r="AB29" s="5">
        <v>490</v>
      </c>
      <c r="AC29" s="5">
        <v>0</v>
      </c>
      <c r="AD29" s="5">
        <v>0</v>
      </c>
      <c r="AE29" s="5">
        <v>0.05</v>
      </c>
      <c r="AF29" s="5">
        <v>0.05</v>
      </c>
      <c r="AG29" s="5">
        <v>50</v>
      </c>
      <c r="AH29" s="10">
        <v>-1.5</v>
      </c>
      <c r="AI29" s="10">
        <v>1.5</v>
      </c>
      <c r="AJ29" s="44" t="s">
        <v>1320</v>
      </c>
      <c r="AK29" s="44">
        <v>0</v>
      </c>
      <c r="AL29" s="44"/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3">
        <v>0</v>
      </c>
      <c r="AS29" s="23">
        <v>0</v>
      </c>
      <c r="AT29" s="54">
        <v>0</v>
      </c>
      <c r="AU29" s="52">
        <v>0</v>
      </c>
      <c r="AV29" s="52">
        <v>0</v>
      </c>
      <c r="AW29" s="52">
        <v>0</v>
      </c>
      <c r="BH29" s="40">
        <v>2</v>
      </c>
      <c r="BI29" s="40" t="s">
        <v>1416</v>
      </c>
      <c r="BJ29" s="40">
        <v>0</v>
      </c>
    </row>
    <row r="30" spans="1:62" x14ac:dyDescent="0.25">
      <c r="A30" s="6">
        <v>51</v>
      </c>
      <c r="B30" s="6" t="s">
        <v>1687</v>
      </c>
      <c r="C30" s="6" t="s">
        <v>230</v>
      </c>
      <c r="G30" s="17">
        <v>39728.115034722221</v>
      </c>
      <c r="K30" s="3">
        <v>12760</v>
      </c>
      <c r="P30" s="3">
        <v>20.858000000000001</v>
      </c>
      <c r="Q30" s="3">
        <v>31.803999999999998</v>
      </c>
      <c r="T30" s="3">
        <v>12760</v>
      </c>
      <c r="X30" s="9" t="s">
        <v>247</v>
      </c>
      <c r="Y30" s="3">
        <v>3100</v>
      </c>
      <c r="AB30" s="5">
        <v>1</v>
      </c>
      <c r="AH30" s="10"/>
      <c r="AI30" s="10"/>
      <c r="AJ30" s="44" t="s">
        <v>1320</v>
      </c>
      <c r="AK30" s="44">
        <v>0</v>
      </c>
      <c r="AL30" s="44"/>
      <c r="AS30" s="25">
        <v>0</v>
      </c>
      <c r="AT30" s="54">
        <v>0</v>
      </c>
      <c r="AU30" s="52">
        <v>0</v>
      </c>
      <c r="AV30" s="52">
        <v>0</v>
      </c>
      <c r="AW30" s="52">
        <v>0</v>
      </c>
      <c r="AX30" s="38">
        <v>19</v>
      </c>
      <c r="AY30" s="38">
        <v>5</v>
      </c>
      <c r="AZ30" s="38">
        <v>6</v>
      </c>
      <c r="BA30" s="38">
        <v>63</v>
      </c>
      <c r="BB30" s="38">
        <v>64</v>
      </c>
      <c r="BC30" s="38" t="s">
        <v>259</v>
      </c>
      <c r="BD30" s="38">
        <v>6</v>
      </c>
      <c r="BE30" s="38">
        <v>7</v>
      </c>
      <c r="BF30" s="38" t="s">
        <v>259</v>
      </c>
      <c r="BG30" s="38" t="s">
        <v>259</v>
      </c>
      <c r="BH30" s="40">
        <v>0</v>
      </c>
      <c r="BI30" s="40" t="s">
        <v>1416</v>
      </c>
      <c r="BJ30" s="40">
        <v>0</v>
      </c>
    </row>
    <row r="31" spans="1:62" x14ac:dyDescent="0.25">
      <c r="A31" s="6">
        <v>52</v>
      </c>
      <c r="B31" s="6" t="s">
        <v>1688</v>
      </c>
      <c r="C31" s="6" t="s">
        <v>231</v>
      </c>
      <c r="G31" s="17">
        <v>39773.018553240741</v>
      </c>
      <c r="K31" s="3">
        <v>18050</v>
      </c>
      <c r="P31" s="3">
        <v>53.183</v>
      </c>
      <c r="Q31" s="3">
        <v>-109.875</v>
      </c>
      <c r="T31" s="3">
        <v>18050</v>
      </c>
      <c r="X31" s="9" t="s">
        <v>215</v>
      </c>
      <c r="Y31" s="3">
        <v>3460</v>
      </c>
      <c r="AB31" s="5">
        <v>400</v>
      </c>
      <c r="AJ31" s="44" t="s">
        <v>1320</v>
      </c>
      <c r="AK31" s="44">
        <v>0</v>
      </c>
      <c r="AS31" s="25">
        <v>0</v>
      </c>
      <c r="AT31" s="54">
        <v>0</v>
      </c>
      <c r="AU31" s="52">
        <v>0</v>
      </c>
      <c r="AV31" s="52">
        <v>0</v>
      </c>
      <c r="AW31" s="52">
        <v>0</v>
      </c>
      <c r="AX31" s="38">
        <v>-1</v>
      </c>
      <c r="AY31" s="38">
        <v>5</v>
      </c>
      <c r="AZ31" s="38">
        <v>65</v>
      </c>
      <c r="BA31" s="38">
        <v>66</v>
      </c>
      <c r="BB31" s="38" t="s">
        <v>259</v>
      </c>
      <c r="BC31" s="38" t="s">
        <v>259</v>
      </c>
      <c r="BD31" s="38">
        <v>12</v>
      </c>
      <c r="BE31" s="38">
        <v>13</v>
      </c>
      <c r="BF31" s="38" t="s">
        <v>259</v>
      </c>
      <c r="BG31" s="38" t="s">
        <v>259</v>
      </c>
      <c r="BH31" s="40">
        <v>0</v>
      </c>
      <c r="BI31" s="40" t="s">
        <v>1416</v>
      </c>
      <c r="BJ31" s="40">
        <v>0</v>
      </c>
    </row>
    <row r="32" spans="1:62" x14ac:dyDescent="0.25">
      <c r="A32" s="6">
        <v>167</v>
      </c>
      <c r="B32" s="6" t="s">
        <v>1792</v>
      </c>
      <c r="C32" s="6" t="s">
        <v>1566</v>
      </c>
      <c r="G32" s="17">
        <v>39830.79791666667</v>
      </c>
      <c r="H32" s="21">
        <v>1</v>
      </c>
      <c r="I32" s="4">
        <f>G32+H32/24</f>
        <v>39830.839583333334</v>
      </c>
      <c r="J32" s="3">
        <v>1500</v>
      </c>
      <c r="P32" s="3">
        <v>54.761944</v>
      </c>
      <c r="Q32" s="3">
        <v>11.467499999999999</v>
      </c>
      <c r="W32" s="3" t="s">
        <v>111</v>
      </c>
      <c r="X32" s="3" t="s">
        <v>216</v>
      </c>
      <c r="AH32" s="5">
        <v>-1.5</v>
      </c>
      <c r="AI32" s="5">
        <v>1.5</v>
      </c>
      <c r="AJ32" s="44">
        <v>0</v>
      </c>
      <c r="AK32" s="44">
        <v>0</v>
      </c>
      <c r="AL32" s="45">
        <v>0</v>
      </c>
      <c r="AM32" s="23">
        <v>0</v>
      </c>
      <c r="AN32" s="23">
        <v>0</v>
      </c>
      <c r="AO32" s="23">
        <v>0</v>
      </c>
      <c r="AP32" s="23">
        <v>0</v>
      </c>
      <c r="AQ32" s="23">
        <v>0</v>
      </c>
      <c r="AR32" s="23">
        <v>0</v>
      </c>
      <c r="AS32" s="25">
        <v>0</v>
      </c>
      <c r="AT32" s="54">
        <v>0</v>
      </c>
      <c r="AU32" s="52">
        <v>0</v>
      </c>
      <c r="AV32" s="52">
        <v>0</v>
      </c>
      <c r="AW32" s="52">
        <v>0</v>
      </c>
      <c r="AX32" s="38">
        <v>0</v>
      </c>
      <c r="AY32" s="38">
        <v>139</v>
      </c>
      <c r="AZ32" s="38">
        <v>0</v>
      </c>
      <c r="BA32" s="38">
        <v>0</v>
      </c>
      <c r="BB32" s="38">
        <v>0</v>
      </c>
      <c r="BC32" s="38">
        <v>0</v>
      </c>
      <c r="BD32" s="38">
        <v>138</v>
      </c>
      <c r="BE32" s="38">
        <v>0</v>
      </c>
      <c r="BF32" s="38">
        <v>0</v>
      </c>
      <c r="BG32" s="38">
        <v>0</v>
      </c>
      <c r="BH32" s="40">
        <v>0</v>
      </c>
      <c r="BI32" s="40" t="s">
        <v>1416</v>
      </c>
      <c r="BJ32" s="40">
        <v>0</v>
      </c>
    </row>
    <row r="33" spans="1:62" x14ac:dyDescent="0.25">
      <c r="A33" s="6">
        <v>38</v>
      </c>
      <c r="B33" s="6" t="s">
        <v>1674</v>
      </c>
      <c r="C33" s="6" t="s">
        <v>193</v>
      </c>
      <c r="G33" s="17">
        <v>39830.797534722224</v>
      </c>
      <c r="K33" s="3">
        <v>28300</v>
      </c>
      <c r="P33" s="3">
        <v>54.585000000000001</v>
      </c>
      <c r="Q33" s="3">
        <v>13.657</v>
      </c>
      <c r="T33" s="3">
        <v>28300</v>
      </c>
      <c r="X33" s="9" t="s">
        <v>216</v>
      </c>
      <c r="Y33" s="3">
        <v>0</v>
      </c>
      <c r="AB33" s="5">
        <v>200</v>
      </c>
      <c r="AJ33" s="44" t="s">
        <v>1320</v>
      </c>
      <c r="AK33" s="44">
        <v>0</v>
      </c>
      <c r="AS33" s="25">
        <v>0</v>
      </c>
      <c r="AT33" s="54">
        <v>0</v>
      </c>
      <c r="AU33" s="52">
        <v>0</v>
      </c>
      <c r="AV33" s="52">
        <v>0</v>
      </c>
      <c r="AW33" s="52">
        <v>0</v>
      </c>
      <c r="AX33" s="38">
        <v>1.1000000000000001</v>
      </c>
      <c r="AY33" s="38">
        <v>5</v>
      </c>
      <c r="AZ33" s="38">
        <v>67</v>
      </c>
      <c r="BA33" s="38" t="s">
        <v>259</v>
      </c>
      <c r="BB33" s="38">
        <v>67</v>
      </c>
      <c r="BC33" s="38" t="s">
        <v>259</v>
      </c>
      <c r="BD33" s="38">
        <v>26</v>
      </c>
      <c r="BE33" s="38">
        <v>27</v>
      </c>
      <c r="BF33" s="38">
        <v>28</v>
      </c>
      <c r="BG33" s="38">
        <v>29</v>
      </c>
      <c r="BH33" s="40">
        <v>0</v>
      </c>
      <c r="BI33" s="40" t="s">
        <v>1416</v>
      </c>
      <c r="BJ33" s="40">
        <v>0</v>
      </c>
    </row>
    <row r="34" spans="1:62" x14ac:dyDescent="0.25">
      <c r="A34" s="6">
        <v>53</v>
      </c>
      <c r="B34" s="6" t="s">
        <v>1689</v>
      </c>
      <c r="C34" s="6" t="s">
        <v>1559</v>
      </c>
      <c r="G34" s="17">
        <v>39912.04142361111</v>
      </c>
      <c r="K34" s="3">
        <v>13800</v>
      </c>
      <c r="P34" s="3">
        <v>46.661999999999999</v>
      </c>
      <c r="Q34" s="3">
        <v>13.692</v>
      </c>
      <c r="T34" s="3">
        <v>13800</v>
      </c>
      <c r="X34" s="9" t="s">
        <v>245</v>
      </c>
      <c r="Y34" s="3">
        <v>0</v>
      </c>
      <c r="AB34" s="5">
        <v>250</v>
      </c>
      <c r="AJ34" s="44" t="s">
        <v>1320</v>
      </c>
      <c r="AK34" s="44">
        <v>0</v>
      </c>
      <c r="AS34" s="25">
        <v>0</v>
      </c>
      <c r="AT34" s="54">
        <v>0</v>
      </c>
      <c r="AU34" s="52">
        <v>0</v>
      </c>
      <c r="AV34" s="52">
        <v>0</v>
      </c>
      <c r="AW34" s="52">
        <v>0</v>
      </c>
      <c r="AX34" s="38">
        <v>4</v>
      </c>
      <c r="AY34" s="38">
        <v>5</v>
      </c>
      <c r="AZ34" s="38">
        <v>68</v>
      </c>
      <c r="BA34" s="38" t="s">
        <v>259</v>
      </c>
      <c r="BB34" s="38">
        <v>68</v>
      </c>
      <c r="BC34" s="38" t="s">
        <v>259</v>
      </c>
      <c r="BD34" s="38">
        <v>20</v>
      </c>
      <c r="BE34" s="38" t="s">
        <v>259</v>
      </c>
      <c r="BF34" s="38" t="s">
        <v>259</v>
      </c>
      <c r="BG34" s="38" t="s">
        <v>259</v>
      </c>
      <c r="BH34" s="40">
        <v>0</v>
      </c>
      <c r="BI34" s="40" t="s">
        <v>1416</v>
      </c>
      <c r="BJ34" s="40">
        <v>0</v>
      </c>
    </row>
    <row r="35" spans="1:62" x14ac:dyDescent="0.25">
      <c r="A35" s="6">
        <v>11</v>
      </c>
      <c r="B35" s="6" t="s">
        <v>1652</v>
      </c>
      <c r="C35" s="6" t="s">
        <v>91</v>
      </c>
      <c r="D35" s="6" t="s">
        <v>92</v>
      </c>
      <c r="E35" s="6" t="s">
        <v>58</v>
      </c>
      <c r="F35" s="6" t="s">
        <v>4</v>
      </c>
      <c r="G35" s="17">
        <v>40000.211631944447</v>
      </c>
      <c r="H35" s="21">
        <v>-4</v>
      </c>
      <c r="I35" s="4">
        <f>G35+H35/24</f>
        <v>40000.044965277782</v>
      </c>
      <c r="J35" s="3">
        <v>370</v>
      </c>
      <c r="K35" s="3">
        <v>11000</v>
      </c>
      <c r="L35" s="36">
        <f>J35*K35^2/2/4.184/10^12</f>
        <v>5.3501434034416828E-3</v>
      </c>
      <c r="M35" s="3">
        <v>26.15</v>
      </c>
      <c r="N35" s="3">
        <v>49.556575067343871</v>
      </c>
      <c r="O35" s="3" t="s">
        <v>1334</v>
      </c>
      <c r="P35" s="3">
        <v>39.905811999999997</v>
      </c>
      <c r="Q35" s="3">
        <v>-76.219842</v>
      </c>
      <c r="R35" s="3">
        <v>24091.116192321384</v>
      </c>
      <c r="S35" s="3">
        <v>25000</v>
      </c>
      <c r="T35" s="3">
        <v>11000</v>
      </c>
      <c r="U35" s="3">
        <v>49.556575067343871</v>
      </c>
      <c r="V35" s="3">
        <v>20000</v>
      </c>
      <c r="W35" s="3" t="s">
        <v>81</v>
      </c>
      <c r="X35" s="3" t="s">
        <v>382</v>
      </c>
      <c r="Y35" s="3">
        <v>0</v>
      </c>
      <c r="Z35" s="3">
        <v>90000</v>
      </c>
      <c r="AA35" s="3">
        <v>85000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-1.5</v>
      </c>
      <c r="AI35" s="5">
        <v>1.5</v>
      </c>
      <c r="AJ35" s="44" t="s">
        <v>1320</v>
      </c>
      <c r="AK35" s="44">
        <v>0</v>
      </c>
      <c r="AM35" s="23">
        <v>0</v>
      </c>
      <c r="AN35" s="23">
        <v>0</v>
      </c>
      <c r="AO35" s="23">
        <v>0</v>
      </c>
      <c r="AP35" s="23">
        <v>0</v>
      </c>
      <c r="AQ35" s="23">
        <v>0</v>
      </c>
      <c r="AR35" s="23">
        <v>0</v>
      </c>
      <c r="AS35" s="23">
        <v>0</v>
      </c>
      <c r="AT35" s="54">
        <v>0</v>
      </c>
      <c r="AU35" s="52">
        <v>0</v>
      </c>
      <c r="AV35" s="52">
        <v>0</v>
      </c>
      <c r="AW35" s="52">
        <v>0</v>
      </c>
      <c r="BH35" s="40">
        <v>3</v>
      </c>
      <c r="BI35" s="40" t="s">
        <v>1416</v>
      </c>
      <c r="BJ35" s="40">
        <v>0</v>
      </c>
    </row>
    <row r="36" spans="1:62" x14ac:dyDescent="0.25">
      <c r="A36" s="6">
        <v>33</v>
      </c>
      <c r="B36" s="6" t="s">
        <v>1670</v>
      </c>
      <c r="C36" s="6" t="s">
        <v>190</v>
      </c>
      <c r="G36" s="17">
        <v>40082.043726851851</v>
      </c>
      <c r="H36" s="21">
        <v>-4</v>
      </c>
      <c r="I36" s="4">
        <f>G36+H36/24</f>
        <v>40081.877060185187</v>
      </c>
      <c r="K36" s="3">
        <v>20950</v>
      </c>
      <c r="P36" s="3">
        <v>43.533999999999999</v>
      </c>
      <c r="Q36" s="3">
        <v>-80.194000000000003</v>
      </c>
      <c r="T36" s="3">
        <v>20950</v>
      </c>
      <c r="X36" s="9" t="s">
        <v>239</v>
      </c>
      <c r="Y36" s="3">
        <v>3355</v>
      </c>
      <c r="AB36" s="5">
        <v>190</v>
      </c>
      <c r="AJ36" s="44" t="s">
        <v>1320</v>
      </c>
      <c r="AK36" s="44">
        <v>0</v>
      </c>
      <c r="AS36" s="25">
        <v>0</v>
      </c>
      <c r="AT36" s="54">
        <v>0</v>
      </c>
      <c r="AU36" s="52">
        <v>0</v>
      </c>
      <c r="AV36" s="52">
        <v>0</v>
      </c>
      <c r="AW36" s="52">
        <v>0</v>
      </c>
      <c r="AX36" s="38">
        <v>23.5</v>
      </c>
      <c r="AY36" s="38">
        <v>5</v>
      </c>
      <c r="AZ36" s="38">
        <v>69</v>
      </c>
      <c r="BA36" s="38">
        <v>69</v>
      </c>
      <c r="BB36" s="38">
        <v>18</v>
      </c>
      <c r="BC36" s="38" t="s">
        <v>259</v>
      </c>
      <c r="BD36" s="38">
        <v>17</v>
      </c>
      <c r="BE36" s="38" t="s">
        <v>259</v>
      </c>
      <c r="BF36" s="38" t="s">
        <v>259</v>
      </c>
      <c r="BG36" s="38" t="s">
        <v>259</v>
      </c>
      <c r="BH36" s="40">
        <v>0</v>
      </c>
      <c r="BI36" s="40" t="s">
        <v>1416</v>
      </c>
      <c r="BJ36" s="40">
        <v>0</v>
      </c>
    </row>
    <row r="37" spans="1:62" x14ac:dyDescent="0.25">
      <c r="A37" s="6">
        <v>54</v>
      </c>
      <c r="B37" s="6" t="s">
        <v>1690</v>
      </c>
      <c r="C37" s="6" t="s">
        <v>232</v>
      </c>
      <c r="G37" s="17">
        <v>40237.933865740742</v>
      </c>
      <c r="K37" s="3">
        <v>14900</v>
      </c>
      <c r="P37" s="3">
        <v>20.704999999999998</v>
      </c>
      <c r="Q37" s="3">
        <v>48.667000000000002</v>
      </c>
      <c r="T37" s="3">
        <v>14900</v>
      </c>
      <c r="X37" s="9" t="s">
        <v>239</v>
      </c>
      <c r="Y37" s="3">
        <v>3430</v>
      </c>
      <c r="AB37" s="5">
        <v>350</v>
      </c>
      <c r="AJ37" s="44" t="s">
        <v>1320</v>
      </c>
      <c r="AK37" s="44">
        <v>0</v>
      </c>
      <c r="AS37" s="25">
        <v>0</v>
      </c>
      <c r="AT37" s="54">
        <v>0</v>
      </c>
      <c r="AU37" s="52">
        <v>0</v>
      </c>
      <c r="AV37" s="52">
        <v>0</v>
      </c>
      <c r="AW37" s="52">
        <v>0</v>
      </c>
      <c r="AX37" s="38">
        <v>6</v>
      </c>
      <c r="AY37" s="38">
        <v>5</v>
      </c>
      <c r="AZ37" s="38">
        <v>70</v>
      </c>
      <c r="BA37" s="38">
        <v>71</v>
      </c>
      <c r="BB37" s="38">
        <v>83</v>
      </c>
      <c r="BC37" s="38" t="s">
        <v>259</v>
      </c>
      <c r="BD37" s="38">
        <v>21</v>
      </c>
      <c r="BE37" s="38" t="s">
        <v>259</v>
      </c>
      <c r="BF37" s="38" t="s">
        <v>259</v>
      </c>
      <c r="BG37" s="38" t="s">
        <v>259</v>
      </c>
      <c r="BH37" s="40">
        <v>0</v>
      </c>
      <c r="BI37" s="40" t="s">
        <v>1416</v>
      </c>
      <c r="BJ37" s="40">
        <v>0</v>
      </c>
    </row>
    <row r="38" spans="1:62" x14ac:dyDescent="0.25">
      <c r="A38" s="6">
        <v>103</v>
      </c>
      <c r="B38" s="6" t="s">
        <v>1734</v>
      </c>
      <c r="C38" s="6" t="s">
        <v>1391</v>
      </c>
      <c r="D38" s="6" t="s">
        <v>1384</v>
      </c>
      <c r="E38" s="6" t="s">
        <v>1385</v>
      </c>
      <c r="F38" s="6" t="s">
        <v>4</v>
      </c>
      <c r="G38" s="17">
        <v>40245.418136574073</v>
      </c>
      <c r="H38" s="21">
        <v>-4</v>
      </c>
      <c r="I38" s="4">
        <f>G38+H38/24</f>
        <v>40245.251469907409</v>
      </c>
      <c r="J38" s="3">
        <v>11849</v>
      </c>
      <c r="K38" s="3">
        <v>24501</v>
      </c>
      <c r="L38" s="3">
        <f>J38*K38^2/2/4.184/10^12</f>
        <v>0.85001707252019587</v>
      </c>
      <c r="M38" s="3">
        <v>50.24</v>
      </c>
      <c r="N38" s="3">
        <v>79.498000000000005</v>
      </c>
      <c r="O38" s="3" t="s">
        <v>1270</v>
      </c>
      <c r="P38" s="3">
        <v>32</v>
      </c>
      <c r="Q38" s="3">
        <v>-92.9</v>
      </c>
      <c r="R38" s="3">
        <v>52000</v>
      </c>
      <c r="S38" s="3">
        <v>52000</v>
      </c>
      <c r="T38" s="3">
        <v>10000</v>
      </c>
      <c r="U38" s="3">
        <v>79.498000000000005</v>
      </c>
      <c r="V38" s="3">
        <v>40000</v>
      </c>
      <c r="W38" s="3" t="s">
        <v>144</v>
      </c>
      <c r="X38" s="9" t="s">
        <v>382</v>
      </c>
      <c r="Y38" s="3">
        <v>0</v>
      </c>
      <c r="Z38" s="3">
        <v>60000</v>
      </c>
      <c r="AA38" s="3">
        <v>60000</v>
      </c>
      <c r="AB38" s="5">
        <v>1000</v>
      </c>
      <c r="AC38" s="5">
        <v>2</v>
      </c>
      <c r="AD38" s="5">
        <v>2</v>
      </c>
      <c r="AE38" s="5">
        <v>0.05</v>
      </c>
      <c r="AF38" s="5">
        <v>0.05</v>
      </c>
      <c r="AG38" s="5">
        <v>1000</v>
      </c>
      <c r="AH38" s="5">
        <v>-1.5</v>
      </c>
      <c r="AI38" s="5">
        <v>1.5</v>
      </c>
      <c r="AJ38" s="44">
        <v>0</v>
      </c>
      <c r="AK38" s="44">
        <v>0</v>
      </c>
      <c r="AL38" s="45">
        <v>0</v>
      </c>
      <c r="AM38" s="23">
        <v>0</v>
      </c>
      <c r="AN38" s="23">
        <v>0</v>
      </c>
      <c r="AO38" s="23">
        <v>0</v>
      </c>
      <c r="AP38" s="23">
        <v>0</v>
      </c>
      <c r="AQ38" s="23">
        <v>0</v>
      </c>
      <c r="AR38" s="23">
        <v>0</v>
      </c>
      <c r="AS38" s="25">
        <v>0</v>
      </c>
      <c r="AT38" s="54">
        <v>0</v>
      </c>
      <c r="AU38" s="52">
        <v>0</v>
      </c>
      <c r="AV38" s="52">
        <v>0</v>
      </c>
      <c r="AW38" s="52">
        <v>0</v>
      </c>
      <c r="AX38" s="38">
        <v>0</v>
      </c>
      <c r="AY38" s="38">
        <v>0</v>
      </c>
      <c r="AZ38" s="38">
        <v>0</v>
      </c>
      <c r="BA38" s="38">
        <v>0</v>
      </c>
      <c r="BB38" s="38">
        <v>0</v>
      </c>
      <c r="BC38" s="38">
        <v>0</v>
      </c>
      <c r="BD38" s="38">
        <v>0</v>
      </c>
      <c r="BE38" s="38">
        <v>0</v>
      </c>
      <c r="BF38" s="38">
        <v>0</v>
      </c>
      <c r="BG38" s="38">
        <v>0</v>
      </c>
      <c r="BH38" s="40">
        <v>2</v>
      </c>
      <c r="BI38" s="40" t="s">
        <v>1416</v>
      </c>
      <c r="BJ38" s="40">
        <v>1</v>
      </c>
    </row>
    <row r="39" spans="1:62" x14ac:dyDescent="0.25">
      <c r="A39" s="6">
        <v>55</v>
      </c>
      <c r="B39" s="6" t="s">
        <v>1691</v>
      </c>
      <c r="C39" s="6" t="s">
        <v>233</v>
      </c>
      <c r="G39" s="17">
        <v>40281.441805555558</v>
      </c>
      <c r="K39" s="3">
        <v>14680</v>
      </c>
      <c r="P39" s="3">
        <v>-30.274999999999999</v>
      </c>
      <c r="Q39" s="3">
        <v>128.215</v>
      </c>
      <c r="T39" s="3">
        <v>14680</v>
      </c>
      <c r="X39" s="3" t="s">
        <v>239</v>
      </c>
      <c r="Y39" s="3">
        <v>3320</v>
      </c>
      <c r="AB39" s="5">
        <v>11</v>
      </c>
      <c r="AJ39" s="44" t="s">
        <v>1320</v>
      </c>
      <c r="AK39" s="44">
        <v>0</v>
      </c>
      <c r="AS39" s="25">
        <v>0</v>
      </c>
      <c r="AT39" s="54">
        <v>0</v>
      </c>
      <c r="AU39" s="52">
        <v>0</v>
      </c>
      <c r="AV39" s="52">
        <v>0</v>
      </c>
      <c r="AW39" s="52">
        <v>0</v>
      </c>
      <c r="AX39" s="38">
        <v>-1</v>
      </c>
      <c r="AY39" s="38">
        <v>5</v>
      </c>
      <c r="AZ39" s="38">
        <v>72</v>
      </c>
      <c r="BA39" s="38">
        <v>59</v>
      </c>
      <c r="BB39" s="38" t="s">
        <v>259</v>
      </c>
      <c r="BC39" s="38" t="s">
        <v>259</v>
      </c>
      <c r="BD39" s="38">
        <v>30</v>
      </c>
      <c r="BE39" s="38" t="s">
        <v>259</v>
      </c>
      <c r="BF39" s="38" t="s">
        <v>259</v>
      </c>
      <c r="BG39" s="38" t="s">
        <v>259</v>
      </c>
      <c r="BH39" s="40">
        <v>0</v>
      </c>
      <c r="BI39" s="40" t="s">
        <v>1416</v>
      </c>
      <c r="BJ39" s="40">
        <v>0</v>
      </c>
    </row>
    <row r="40" spans="1:62" x14ac:dyDescent="0.25">
      <c r="A40" s="6">
        <v>75</v>
      </c>
      <c r="B40" s="6" t="s">
        <v>1710</v>
      </c>
      <c r="C40" s="6" t="s">
        <v>1325</v>
      </c>
      <c r="D40" s="6" t="s">
        <v>1325</v>
      </c>
      <c r="E40" s="6" t="s">
        <v>1326</v>
      </c>
      <c r="F40" s="6" t="s">
        <v>4</v>
      </c>
      <c r="G40" s="17">
        <v>40283.129861111112</v>
      </c>
      <c r="H40" s="21">
        <v>-5</v>
      </c>
      <c r="I40" s="4">
        <v>40282.921527777777</v>
      </c>
      <c r="J40" s="3">
        <v>1800</v>
      </c>
      <c r="K40" s="3">
        <v>15000</v>
      </c>
      <c r="L40" s="3">
        <v>4.8399999999999999E-2</v>
      </c>
      <c r="M40" s="3">
        <v>114.5</v>
      </c>
      <c r="N40" s="3">
        <v>72</v>
      </c>
      <c r="O40" s="3" t="s">
        <v>1327</v>
      </c>
      <c r="P40" s="3">
        <v>42.934342999999998</v>
      </c>
      <c r="Q40" s="3">
        <v>-90.509808000000007</v>
      </c>
      <c r="R40" s="3">
        <v>28000</v>
      </c>
      <c r="S40" s="3">
        <v>28000</v>
      </c>
      <c r="T40" s="3">
        <v>15000</v>
      </c>
      <c r="U40" s="3">
        <v>50</v>
      </c>
      <c r="V40" s="3">
        <v>28000</v>
      </c>
      <c r="W40" s="3" t="s">
        <v>115</v>
      </c>
      <c r="X40" s="3" t="s">
        <v>244</v>
      </c>
      <c r="Y40" s="3">
        <v>0</v>
      </c>
      <c r="Z40" s="3">
        <v>60000</v>
      </c>
      <c r="AA40" s="3">
        <v>60000</v>
      </c>
      <c r="AB40" s="5">
        <v>2000</v>
      </c>
      <c r="AC40" s="5">
        <v>3</v>
      </c>
      <c r="AD40" s="5">
        <v>6</v>
      </c>
      <c r="AE40" s="5">
        <v>0</v>
      </c>
      <c r="AF40" s="5">
        <v>0</v>
      </c>
      <c r="AG40" s="5">
        <v>1000</v>
      </c>
      <c r="AH40" s="5">
        <v>-1</v>
      </c>
      <c r="AI40" s="5">
        <v>1</v>
      </c>
      <c r="AJ40" s="44" t="s">
        <v>1320</v>
      </c>
      <c r="AK40" s="44">
        <v>0</v>
      </c>
      <c r="AL40" s="45" t="s">
        <v>1320</v>
      </c>
      <c r="AM40" s="23">
        <v>0</v>
      </c>
      <c r="AN40" s="23">
        <v>0</v>
      </c>
      <c r="AO40" s="23">
        <v>0</v>
      </c>
      <c r="AP40" s="23">
        <v>0</v>
      </c>
      <c r="AQ40" s="23">
        <v>0</v>
      </c>
      <c r="AR40" s="23">
        <v>0</v>
      </c>
      <c r="AS40" s="25">
        <v>0</v>
      </c>
      <c r="AT40" s="54">
        <v>0</v>
      </c>
      <c r="AU40" s="52">
        <v>0</v>
      </c>
      <c r="AV40" s="52">
        <v>0</v>
      </c>
      <c r="AW40" s="52">
        <v>0</v>
      </c>
      <c r="AX40" s="38">
        <v>0</v>
      </c>
      <c r="AY40" s="38">
        <v>0</v>
      </c>
      <c r="AZ40" s="38">
        <v>0</v>
      </c>
      <c r="BA40" s="38">
        <v>0</v>
      </c>
      <c r="BB40" s="38">
        <v>0</v>
      </c>
      <c r="BC40" s="38">
        <v>0</v>
      </c>
      <c r="BD40" s="38">
        <v>0</v>
      </c>
      <c r="BE40" s="38">
        <v>0</v>
      </c>
      <c r="BF40" s="38">
        <v>0</v>
      </c>
      <c r="BG40" s="38">
        <v>0</v>
      </c>
      <c r="BH40" s="40">
        <v>0</v>
      </c>
      <c r="BI40" s="40" t="s">
        <v>1416</v>
      </c>
      <c r="BJ40" s="40">
        <v>0</v>
      </c>
    </row>
    <row r="41" spans="1:62" x14ac:dyDescent="0.25">
      <c r="A41" s="6">
        <v>56</v>
      </c>
      <c r="B41" s="6" t="s">
        <v>1692</v>
      </c>
      <c r="C41" s="6" t="s">
        <v>234</v>
      </c>
      <c r="G41" s="17">
        <v>40578.972673611112</v>
      </c>
      <c r="K41" s="3">
        <v>18210</v>
      </c>
      <c r="P41" s="3">
        <v>45.732999999999997</v>
      </c>
      <c r="Q41" s="3">
        <v>16.43</v>
      </c>
      <c r="T41" s="3">
        <v>18210</v>
      </c>
      <c r="X41" s="9" t="s">
        <v>242</v>
      </c>
      <c r="Y41" s="3">
        <v>0</v>
      </c>
      <c r="AB41" s="5">
        <v>70</v>
      </c>
      <c r="AJ41" s="44" t="s">
        <v>1320</v>
      </c>
      <c r="AK41" s="44">
        <v>0</v>
      </c>
      <c r="AS41" s="25">
        <v>0</v>
      </c>
      <c r="AT41" s="54">
        <v>0</v>
      </c>
      <c r="AU41" s="52">
        <v>0</v>
      </c>
      <c r="AV41" s="52">
        <v>0</v>
      </c>
      <c r="AW41" s="52">
        <v>0</v>
      </c>
      <c r="AX41" s="38">
        <v>-1</v>
      </c>
      <c r="AY41" s="38">
        <v>5</v>
      </c>
      <c r="AZ41" s="38">
        <v>73</v>
      </c>
      <c r="BA41" s="38" t="s">
        <v>259</v>
      </c>
      <c r="BB41" s="38" t="s">
        <v>259</v>
      </c>
      <c r="BC41" s="38" t="s">
        <v>259</v>
      </c>
      <c r="BD41" s="38">
        <v>22</v>
      </c>
      <c r="BE41" s="38" t="s">
        <v>259</v>
      </c>
      <c r="BF41" s="38" t="s">
        <v>259</v>
      </c>
      <c r="BG41" s="38" t="s">
        <v>259</v>
      </c>
      <c r="BH41" s="40">
        <v>0</v>
      </c>
      <c r="BI41" s="40" t="s">
        <v>1416</v>
      </c>
      <c r="BJ41" s="40">
        <v>0</v>
      </c>
    </row>
    <row r="42" spans="1:62" x14ac:dyDescent="0.25">
      <c r="A42" s="6">
        <v>5</v>
      </c>
      <c r="B42" s="6" t="s">
        <v>1646</v>
      </c>
      <c r="C42" s="6" t="s">
        <v>380</v>
      </c>
      <c r="D42" s="6" t="s">
        <v>380</v>
      </c>
      <c r="E42" s="6" t="s">
        <v>58</v>
      </c>
      <c r="F42" s="6" t="s">
        <v>4</v>
      </c>
      <c r="G42" s="17">
        <v>40763.223611111112</v>
      </c>
      <c r="H42" s="21">
        <v>-4</v>
      </c>
      <c r="I42" s="4">
        <f>G42+H42/24</f>
        <v>40763.056944444448</v>
      </c>
      <c r="J42" s="3">
        <v>5</v>
      </c>
      <c r="K42" s="3">
        <v>25000</v>
      </c>
      <c r="L42" s="36">
        <f>J42*K42^2/2/4.184/10^12</f>
        <v>3.7344646271510515E-4</v>
      </c>
      <c r="M42" s="3">
        <v>158.80000000000001</v>
      </c>
      <c r="N42" s="3">
        <v>52.4</v>
      </c>
      <c r="O42" s="3" t="s">
        <v>1334</v>
      </c>
      <c r="P42" s="3">
        <v>41.411000000000001</v>
      </c>
      <c r="Q42" s="3">
        <v>-80.667000000000002</v>
      </c>
      <c r="R42" s="3">
        <v>38000</v>
      </c>
      <c r="S42" s="3">
        <v>39000</v>
      </c>
      <c r="T42" s="3">
        <v>25000</v>
      </c>
      <c r="U42" s="3">
        <v>52.4</v>
      </c>
      <c r="V42" s="3">
        <v>21000</v>
      </c>
      <c r="W42" s="3" t="s">
        <v>81</v>
      </c>
      <c r="X42" s="3" t="s">
        <v>382</v>
      </c>
      <c r="Y42" s="3">
        <v>0</v>
      </c>
      <c r="Z42" s="3">
        <v>85000</v>
      </c>
      <c r="AA42" s="3">
        <v>85000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-1.5</v>
      </c>
      <c r="AI42" s="5">
        <v>1.5</v>
      </c>
      <c r="AJ42" s="44" t="s">
        <v>1320</v>
      </c>
      <c r="AK42" s="44">
        <v>0</v>
      </c>
      <c r="AM42" s="23">
        <v>0</v>
      </c>
      <c r="AN42" s="23">
        <v>0</v>
      </c>
      <c r="AO42" s="23">
        <v>0</v>
      </c>
      <c r="AP42" s="23">
        <v>0</v>
      </c>
      <c r="AQ42" s="23">
        <v>0</v>
      </c>
      <c r="AR42" s="23">
        <v>0</v>
      </c>
      <c r="AS42" s="23">
        <v>0</v>
      </c>
      <c r="AT42" s="54">
        <v>0</v>
      </c>
      <c r="AU42" s="52">
        <v>0</v>
      </c>
      <c r="AV42" s="52">
        <v>0</v>
      </c>
      <c r="AW42" s="52">
        <v>0</v>
      </c>
      <c r="BH42" s="40">
        <v>3</v>
      </c>
      <c r="BI42" s="40" t="s">
        <v>1416</v>
      </c>
      <c r="BJ42" s="40">
        <v>0</v>
      </c>
    </row>
    <row r="43" spans="1:62" x14ac:dyDescent="0.25">
      <c r="A43" s="6">
        <v>134</v>
      </c>
      <c r="B43" s="6" t="s">
        <v>1764</v>
      </c>
      <c r="C43" s="6" t="s">
        <v>1477</v>
      </c>
      <c r="F43" s="6" t="s">
        <v>418</v>
      </c>
      <c r="G43" s="17">
        <v>40943.612500000003</v>
      </c>
      <c r="H43" s="21">
        <v>1</v>
      </c>
      <c r="I43" s="4">
        <f>G43+H43/24</f>
        <v>40943.654166666667</v>
      </c>
      <c r="J43" s="3">
        <v>23986</v>
      </c>
      <c r="K43" s="3">
        <v>12248</v>
      </c>
      <c r="L43" s="3">
        <f>J43*K43^2/2/4.184/10^12</f>
        <v>0.42999807683365199</v>
      </c>
      <c r="M43" s="3">
        <v>63.42</v>
      </c>
      <c r="N43" s="3">
        <v>84.69</v>
      </c>
      <c r="O43" s="3" t="s">
        <v>1334</v>
      </c>
      <c r="P43" s="3">
        <v>32.4</v>
      </c>
      <c r="Q43" s="3">
        <v>0.1</v>
      </c>
      <c r="R43" s="3">
        <v>34200</v>
      </c>
      <c r="S43" s="3">
        <v>34200</v>
      </c>
      <c r="T43" s="3">
        <v>12248</v>
      </c>
      <c r="U43" s="3">
        <v>84.69</v>
      </c>
      <c r="V43" s="3">
        <v>25000</v>
      </c>
      <c r="W43" s="3" t="s">
        <v>144</v>
      </c>
      <c r="X43" s="9" t="s">
        <v>382</v>
      </c>
      <c r="Y43" s="3">
        <v>0</v>
      </c>
      <c r="Z43" s="3">
        <v>60000</v>
      </c>
      <c r="AA43" s="3">
        <v>60000</v>
      </c>
      <c r="AB43" s="5">
        <v>1000</v>
      </c>
      <c r="AC43" s="5">
        <v>2</v>
      </c>
      <c r="AD43" s="5">
        <v>2</v>
      </c>
      <c r="AE43" s="5">
        <v>0.05</v>
      </c>
      <c r="AF43" s="5">
        <v>0.05</v>
      </c>
      <c r="AG43" s="5">
        <v>1000</v>
      </c>
      <c r="AH43" s="5">
        <v>-1.5</v>
      </c>
      <c r="AI43" s="5">
        <v>1.5</v>
      </c>
      <c r="AJ43" s="44">
        <v>0</v>
      </c>
      <c r="AK43" s="44">
        <v>0</v>
      </c>
      <c r="AL43" s="45">
        <v>0</v>
      </c>
      <c r="AM43" s="23">
        <v>0</v>
      </c>
      <c r="AN43" s="23">
        <v>0</v>
      </c>
      <c r="AO43" s="23">
        <v>0</v>
      </c>
      <c r="AP43" s="23">
        <v>0</v>
      </c>
      <c r="AQ43" s="23">
        <v>0</v>
      </c>
      <c r="AR43" s="23">
        <v>0</v>
      </c>
      <c r="AS43" s="25">
        <v>0</v>
      </c>
      <c r="AT43" s="54">
        <v>0</v>
      </c>
      <c r="AU43" s="52">
        <v>0</v>
      </c>
      <c r="AV43" s="52">
        <v>0</v>
      </c>
      <c r="AW43" s="52">
        <v>0</v>
      </c>
      <c r="AX43" s="38">
        <v>0</v>
      </c>
      <c r="AY43" s="38">
        <v>0</v>
      </c>
      <c r="AZ43" s="38">
        <v>0</v>
      </c>
      <c r="BA43" s="38">
        <v>0</v>
      </c>
      <c r="BB43" s="38">
        <v>0</v>
      </c>
      <c r="BC43" s="38">
        <v>0</v>
      </c>
      <c r="BD43" s="38">
        <v>0</v>
      </c>
      <c r="BE43" s="38">
        <v>0</v>
      </c>
      <c r="BF43" s="38">
        <v>0</v>
      </c>
      <c r="BG43" s="38">
        <v>0</v>
      </c>
      <c r="BH43" s="40">
        <v>2</v>
      </c>
      <c r="BI43" s="40" t="s">
        <v>1416</v>
      </c>
      <c r="BJ43" s="40">
        <v>0</v>
      </c>
    </row>
    <row r="44" spans="1:62" x14ac:dyDescent="0.25">
      <c r="A44" s="6">
        <v>14</v>
      </c>
      <c r="B44" s="6" t="s">
        <v>1655</v>
      </c>
      <c r="C44" s="6" t="s">
        <v>108</v>
      </c>
      <c r="D44" s="6" t="s">
        <v>110</v>
      </c>
      <c r="E44" s="6" t="s">
        <v>109</v>
      </c>
      <c r="F44" s="6" t="s">
        <v>4</v>
      </c>
      <c r="G44" s="17">
        <v>41021.618888888886</v>
      </c>
      <c r="H44" s="21">
        <v>-7</v>
      </c>
      <c r="I44" s="4">
        <f>G44+H44/24</f>
        <v>41021.327222222222</v>
      </c>
      <c r="J44" s="3">
        <v>40000</v>
      </c>
      <c r="K44" s="3">
        <v>28600</v>
      </c>
      <c r="L44" s="36">
        <f>J44*K44^2/2/4.184/10^12</f>
        <v>3.9099426386233267</v>
      </c>
      <c r="M44" s="3">
        <v>272.5</v>
      </c>
      <c r="N44" s="3">
        <v>63.7</v>
      </c>
      <c r="O44" s="3" t="s">
        <v>1270</v>
      </c>
      <c r="P44" s="3">
        <v>38.75</v>
      </c>
      <c r="Q44" s="3">
        <v>-120.904</v>
      </c>
      <c r="R44" s="3">
        <v>30100</v>
      </c>
      <c r="S44" s="3">
        <v>30100</v>
      </c>
      <c r="T44" s="3">
        <v>28600</v>
      </c>
      <c r="U44" s="3">
        <v>63.7</v>
      </c>
      <c r="V44" s="3">
        <v>28000</v>
      </c>
      <c r="W44" s="3" t="s">
        <v>111</v>
      </c>
      <c r="X44" s="3" t="s">
        <v>216</v>
      </c>
      <c r="Y44" s="3">
        <v>2257</v>
      </c>
      <c r="Z44" s="3">
        <v>85000</v>
      </c>
      <c r="AA44" s="3">
        <v>85000</v>
      </c>
      <c r="AB44" s="5">
        <v>600</v>
      </c>
      <c r="AC44" s="5">
        <v>0.4</v>
      </c>
      <c r="AD44" s="5">
        <v>0.5</v>
      </c>
      <c r="AE44" s="5">
        <v>0</v>
      </c>
      <c r="AF44" s="5">
        <v>0</v>
      </c>
      <c r="AG44" s="5">
        <v>0</v>
      </c>
      <c r="AH44" s="5">
        <v>-1.5</v>
      </c>
      <c r="AI44" s="5">
        <v>0</v>
      </c>
      <c r="AJ44" s="44" t="s">
        <v>1320</v>
      </c>
      <c r="AK44" s="44">
        <v>0</v>
      </c>
      <c r="AM44" s="23">
        <v>54.6</v>
      </c>
      <c r="AN44" s="23">
        <v>78</v>
      </c>
      <c r="AO44" s="23">
        <v>0.99199999999999999</v>
      </c>
      <c r="AP44" s="23">
        <v>205.2</v>
      </c>
      <c r="AQ44" s="23">
        <v>7.1</v>
      </c>
      <c r="AR44" s="23">
        <v>12.2</v>
      </c>
      <c r="AS44" s="25">
        <f>AN44/AM44</f>
        <v>1.4285714285714286</v>
      </c>
      <c r="AT44" s="54">
        <f>AO44/AM44*1000</f>
        <v>18.168498168498168</v>
      </c>
      <c r="AU44" s="52">
        <v>0</v>
      </c>
      <c r="AV44" s="52">
        <v>0</v>
      </c>
      <c r="AW44" s="52">
        <v>0</v>
      </c>
      <c r="AX44" s="38">
        <v>8.2000000000000003E-2</v>
      </c>
      <c r="AY44" s="38">
        <v>5</v>
      </c>
      <c r="AZ44" s="38">
        <v>74</v>
      </c>
      <c r="BA44" s="38">
        <v>43</v>
      </c>
      <c r="BB44" s="38">
        <v>44</v>
      </c>
      <c r="BC44" s="38">
        <v>0</v>
      </c>
      <c r="BD44" s="38">
        <v>41</v>
      </c>
      <c r="BE44" s="38">
        <v>42</v>
      </c>
      <c r="BF44" s="38">
        <v>0</v>
      </c>
      <c r="BG44" s="38">
        <v>0</v>
      </c>
      <c r="BH44" s="40">
        <v>3</v>
      </c>
      <c r="BI44" s="40" t="s">
        <v>1416</v>
      </c>
      <c r="BJ44" s="40">
        <v>0</v>
      </c>
    </row>
    <row r="45" spans="1:62" x14ac:dyDescent="0.25">
      <c r="A45" s="6">
        <v>57</v>
      </c>
      <c r="B45" s="6" t="s">
        <v>1693</v>
      </c>
      <c r="C45" s="6" t="s">
        <v>235</v>
      </c>
      <c r="G45" s="17">
        <v>41200.114236111112</v>
      </c>
      <c r="K45" s="3">
        <v>13750</v>
      </c>
      <c r="P45" s="3">
        <v>36.295000000000002</v>
      </c>
      <c r="Q45" s="3">
        <v>-123.46299999999999</v>
      </c>
      <c r="T45" s="3">
        <v>13750</v>
      </c>
      <c r="X45" s="3" t="s">
        <v>245</v>
      </c>
      <c r="Y45" s="3">
        <v>3270</v>
      </c>
      <c r="AB45" s="5">
        <v>120</v>
      </c>
      <c r="AJ45" s="44" t="s">
        <v>1320</v>
      </c>
      <c r="AK45" s="44">
        <v>0</v>
      </c>
      <c r="AS45" s="25">
        <v>0</v>
      </c>
      <c r="AT45" s="54">
        <v>0</v>
      </c>
      <c r="AU45" s="52">
        <v>0</v>
      </c>
      <c r="AV45" s="52">
        <v>0</v>
      </c>
      <c r="AW45" s="52">
        <v>0</v>
      </c>
      <c r="AX45" s="38">
        <v>9</v>
      </c>
      <c r="AY45" s="38">
        <v>5</v>
      </c>
      <c r="AZ45" s="38">
        <v>36</v>
      </c>
      <c r="BA45" s="38">
        <v>36</v>
      </c>
      <c r="BB45" s="38">
        <v>36</v>
      </c>
      <c r="BC45" s="38" t="s">
        <v>259</v>
      </c>
      <c r="BD45" s="38">
        <v>35</v>
      </c>
      <c r="BE45" s="38" t="s">
        <v>259</v>
      </c>
      <c r="BF45" s="38" t="s">
        <v>259</v>
      </c>
      <c r="BG45" s="38" t="s">
        <v>259</v>
      </c>
      <c r="BH45" s="40">
        <v>0</v>
      </c>
      <c r="BI45" s="40" t="s">
        <v>1416</v>
      </c>
      <c r="BJ45" s="40">
        <v>0</v>
      </c>
    </row>
    <row r="46" spans="1:62" x14ac:dyDescent="0.25">
      <c r="A46" s="6">
        <v>15</v>
      </c>
      <c r="B46" s="6" t="s">
        <v>1656</v>
      </c>
      <c r="C46" s="6" t="s">
        <v>112</v>
      </c>
      <c r="D46" s="6" t="s">
        <v>112</v>
      </c>
      <c r="E46" s="6" t="s">
        <v>114</v>
      </c>
      <c r="F46" s="6" t="s">
        <v>113</v>
      </c>
      <c r="G46" s="17">
        <v>41320.139129629628</v>
      </c>
      <c r="H46" s="21">
        <v>5</v>
      </c>
      <c r="I46" s="4">
        <f>G46+H46/24</f>
        <v>41320.347462962964</v>
      </c>
      <c r="J46" s="3">
        <v>10642617</v>
      </c>
      <c r="K46" s="3">
        <v>19160</v>
      </c>
      <c r="L46" s="36">
        <f>J46*K46^2/2/4.184/10^12</f>
        <v>466.89343921548755</v>
      </c>
      <c r="M46" s="3">
        <v>283.2</v>
      </c>
      <c r="N46" s="3">
        <v>71.7</v>
      </c>
      <c r="O46" s="3" t="s">
        <v>1270</v>
      </c>
      <c r="P46" s="3">
        <v>54.859000000000002</v>
      </c>
      <c r="Q46" s="3">
        <v>61.277999999999999</v>
      </c>
      <c r="R46" s="3">
        <v>27000</v>
      </c>
      <c r="S46" s="3">
        <v>27100</v>
      </c>
      <c r="T46" s="3">
        <v>19200</v>
      </c>
      <c r="U46" s="3">
        <f>90-18.3</f>
        <v>71.7</v>
      </c>
      <c r="V46" s="3">
        <v>12600</v>
      </c>
      <c r="W46" s="3" t="s">
        <v>115</v>
      </c>
      <c r="X46" s="9" t="s">
        <v>248</v>
      </c>
      <c r="Y46" s="3">
        <v>3325</v>
      </c>
      <c r="Z46" s="3">
        <v>97100</v>
      </c>
      <c r="AA46" s="3">
        <v>97100</v>
      </c>
      <c r="AB46" s="5">
        <v>150</v>
      </c>
      <c r="AC46" s="5">
        <v>0.18</v>
      </c>
      <c r="AD46" s="5">
        <v>0.2</v>
      </c>
      <c r="AE46" s="5">
        <v>0</v>
      </c>
      <c r="AF46" s="5">
        <v>0</v>
      </c>
      <c r="AG46" s="5">
        <v>700</v>
      </c>
      <c r="AH46" s="5">
        <v>-1.5</v>
      </c>
      <c r="AI46" s="5">
        <v>1.5</v>
      </c>
      <c r="AJ46" s="44" t="s">
        <v>1320</v>
      </c>
      <c r="AK46" s="44">
        <v>0</v>
      </c>
      <c r="AM46" s="23">
        <v>121</v>
      </c>
      <c r="AN46" s="23">
        <v>281</v>
      </c>
      <c r="AO46" s="23">
        <v>1000</v>
      </c>
      <c r="AP46" s="23">
        <v>640000</v>
      </c>
      <c r="AQ46" s="23">
        <v>0</v>
      </c>
      <c r="AR46" s="23">
        <v>0</v>
      </c>
      <c r="AS46" s="25">
        <f>AN46/AM46</f>
        <v>2.3223140495867769</v>
      </c>
      <c r="AT46" s="54">
        <f>AO46/AM46*1000</f>
        <v>8264.4628099173551</v>
      </c>
      <c r="AU46" s="52">
        <v>0</v>
      </c>
      <c r="AV46" s="52">
        <v>0</v>
      </c>
      <c r="AW46" s="52">
        <v>0</v>
      </c>
      <c r="AX46" s="38">
        <v>1</v>
      </c>
      <c r="AY46" s="38">
        <v>5</v>
      </c>
      <c r="AZ46" s="38">
        <v>75</v>
      </c>
      <c r="BA46" s="38">
        <v>75</v>
      </c>
      <c r="BB46" s="38">
        <v>76</v>
      </c>
      <c r="BC46" s="38" t="s">
        <v>259</v>
      </c>
      <c r="BD46" s="38">
        <v>14</v>
      </c>
      <c r="BE46" s="38">
        <v>15</v>
      </c>
      <c r="BF46" s="38" t="s">
        <v>259</v>
      </c>
      <c r="BG46" s="38" t="s">
        <v>259</v>
      </c>
      <c r="BH46" s="40">
        <v>3</v>
      </c>
      <c r="BI46" s="40" t="s">
        <v>1416</v>
      </c>
      <c r="BJ46" s="40">
        <v>0</v>
      </c>
    </row>
    <row r="47" spans="1:62" x14ac:dyDescent="0.25">
      <c r="A47" s="6">
        <v>15</v>
      </c>
      <c r="B47" s="6" t="s">
        <v>1656</v>
      </c>
      <c r="C47" s="6" t="s">
        <v>138</v>
      </c>
      <c r="D47" s="6" t="s">
        <v>112</v>
      </c>
      <c r="E47" s="6" t="s">
        <v>114</v>
      </c>
      <c r="F47" s="6" t="s">
        <v>113</v>
      </c>
      <c r="G47" s="17">
        <v>41320.139270833337</v>
      </c>
      <c r="H47" s="21">
        <v>5</v>
      </c>
      <c r="I47" s="4">
        <v>41320.347222222226</v>
      </c>
      <c r="J47" s="3">
        <v>10626000</v>
      </c>
      <c r="K47" s="3">
        <v>18614.2</v>
      </c>
      <c r="L47" s="36">
        <f>J47*K47^2/2/4.184/10^12</f>
        <v>439.98400822976106</v>
      </c>
      <c r="M47" s="3">
        <v>279.89589999999998</v>
      </c>
      <c r="N47" s="3">
        <v>74.075699999999998</v>
      </c>
      <c r="O47" s="3" t="s">
        <v>1270</v>
      </c>
      <c r="P47" s="3">
        <v>54.8</v>
      </c>
      <c r="Q47" s="3">
        <v>61.1</v>
      </c>
      <c r="R47" s="3">
        <v>23300</v>
      </c>
      <c r="S47" s="3">
        <v>23300</v>
      </c>
      <c r="T47" s="3">
        <v>18614.2</v>
      </c>
      <c r="U47" s="3">
        <v>74.075699999999998</v>
      </c>
      <c r="V47" s="3">
        <v>12600</v>
      </c>
      <c r="W47" s="3" t="s">
        <v>81</v>
      </c>
      <c r="X47" s="3" t="s">
        <v>382</v>
      </c>
      <c r="Y47" s="3">
        <v>0</v>
      </c>
      <c r="Z47" s="3">
        <v>85000</v>
      </c>
      <c r="AA47" s="3">
        <v>85000</v>
      </c>
      <c r="AB47" s="5">
        <v>50</v>
      </c>
      <c r="AC47" s="5">
        <v>0.5</v>
      </c>
      <c r="AD47" s="5">
        <v>0.5</v>
      </c>
      <c r="AE47" s="5">
        <v>0.05</v>
      </c>
      <c r="AF47" s="5">
        <v>0.03</v>
      </c>
      <c r="AG47" s="5">
        <v>50</v>
      </c>
      <c r="AH47" s="5">
        <v>-1.5</v>
      </c>
      <c r="AI47" s="5">
        <v>1.5</v>
      </c>
      <c r="AJ47" s="44" t="s">
        <v>1320</v>
      </c>
      <c r="AK47" s="44">
        <v>0</v>
      </c>
      <c r="AM47" s="23">
        <v>0</v>
      </c>
      <c r="AN47" s="23">
        <v>0</v>
      </c>
      <c r="AO47" s="23">
        <v>0</v>
      </c>
      <c r="AP47" s="23">
        <v>0</v>
      </c>
      <c r="AQ47" s="23">
        <v>0</v>
      </c>
      <c r="AR47" s="23">
        <v>0</v>
      </c>
      <c r="AS47" s="25">
        <v>0</v>
      </c>
      <c r="AT47" s="54">
        <v>0</v>
      </c>
      <c r="AU47" s="52">
        <v>0</v>
      </c>
      <c r="AV47" s="52">
        <v>0</v>
      </c>
      <c r="AW47" s="52">
        <v>0</v>
      </c>
      <c r="BH47" s="40">
        <v>2</v>
      </c>
      <c r="BI47" s="40" t="s">
        <v>1416</v>
      </c>
      <c r="BJ47" s="40">
        <v>0</v>
      </c>
    </row>
    <row r="48" spans="1:62" x14ac:dyDescent="0.25">
      <c r="A48" s="6">
        <v>7</v>
      </c>
      <c r="B48" s="6" t="s">
        <v>1648</v>
      </c>
      <c r="C48" s="6" t="s">
        <v>1597</v>
      </c>
      <c r="D48" s="6" t="s">
        <v>1597</v>
      </c>
      <c r="E48" s="6" t="s">
        <v>62</v>
      </c>
      <c r="F48" s="6" t="s">
        <v>62</v>
      </c>
      <c r="G48" s="17">
        <v>41647.712199074071</v>
      </c>
      <c r="H48" s="21">
        <v>10</v>
      </c>
      <c r="I48" s="4">
        <f>G48+H48/24</f>
        <v>41648.128865740735</v>
      </c>
      <c r="J48" s="3">
        <v>458</v>
      </c>
      <c r="K48" s="3">
        <v>44832</v>
      </c>
      <c r="L48" s="36">
        <f>J48*K48^2/2/4.184/10^12</f>
        <v>0.11000692717399617</v>
      </c>
      <c r="M48" s="3">
        <v>105.5968</v>
      </c>
      <c r="N48" s="3">
        <v>63.221283423682337</v>
      </c>
      <c r="O48" s="3" t="s">
        <v>1270</v>
      </c>
      <c r="P48" s="3">
        <v>-1.3</v>
      </c>
      <c r="Q48" s="3">
        <v>147.6</v>
      </c>
      <c r="R48" s="3">
        <v>18700</v>
      </c>
      <c r="S48" s="3">
        <v>18700</v>
      </c>
      <c r="T48" s="3">
        <v>5</v>
      </c>
      <c r="U48" s="3">
        <f>N48</f>
        <v>63.221283423682337</v>
      </c>
      <c r="V48" s="3">
        <v>16680</v>
      </c>
      <c r="W48" s="3" t="s">
        <v>1360</v>
      </c>
      <c r="X48" s="9" t="s">
        <v>382</v>
      </c>
      <c r="Y48" s="3">
        <v>0</v>
      </c>
      <c r="Z48" s="3">
        <v>60000</v>
      </c>
      <c r="AA48" s="3">
        <v>60000</v>
      </c>
      <c r="AB48" s="5">
        <v>196</v>
      </c>
      <c r="AC48" s="5">
        <v>0.28100000000000003</v>
      </c>
      <c r="AD48" s="5">
        <v>0.251</v>
      </c>
      <c r="AE48" s="5">
        <v>0.05</v>
      </c>
      <c r="AF48" s="5">
        <v>0.05</v>
      </c>
      <c r="AG48" s="5">
        <v>500</v>
      </c>
      <c r="AH48" s="5">
        <v>-1.5</v>
      </c>
      <c r="AI48" s="5">
        <v>1.5</v>
      </c>
      <c r="AJ48" s="44" t="s">
        <v>1320</v>
      </c>
      <c r="AK48" s="44">
        <v>0</v>
      </c>
      <c r="AM48" s="23">
        <v>0</v>
      </c>
      <c r="AN48" s="23">
        <v>0</v>
      </c>
      <c r="AO48" s="23">
        <v>0</v>
      </c>
      <c r="AP48" s="23">
        <v>0</v>
      </c>
      <c r="AQ48" s="23">
        <v>0</v>
      </c>
      <c r="AR48" s="23">
        <v>0</v>
      </c>
      <c r="AS48" s="23">
        <v>0</v>
      </c>
      <c r="AT48" s="54">
        <v>0</v>
      </c>
      <c r="AU48" s="52">
        <v>0</v>
      </c>
      <c r="AV48" s="52">
        <v>0</v>
      </c>
      <c r="AW48" s="52">
        <v>0</v>
      </c>
      <c r="BH48" s="40">
        <v>2</v>
      </c>
      <c r="BI48" s="40" t="s">
        <v>1416</v>
      </c>
      <c r="BJ48" s="40">
        <v>0</v>
      </c>
    </row>
    <row r="49" spans="1:62" x14ac:dyDescent="0.25">
      <c r="A49" s="6">
        <v>58</v>
      </c>
      <c r="B49" s="6" t="s">
        <v>1694</v>
      </c>
      <c r="C49" s="6" t="s">
        <v>236</v>
      </c>
      <c r="G49" s="17">
        <v>41747.926481481481</v>
      </c>
      <c r="K49" s="3">
        <v>24200</v>
      </c>
      <c r="P49" s="3">
        <v>68.775000000000006</v>
      </c>
      <c r="Q49" s="3">
        <v>30.786999999999999</v>
      </c>
      <c r="T49" s="3">
        <v>24200</v>
      </c>
      <c r="X49" s="9" t="s">
        <v>239</v>
      </c>
      <c r="Y49" s="3">
        <v>3500</v>
      </c>
      <c r="AB49" s="5">
        <v>500</v>
      </c>
      <c r="AJ49" s="44" t="s">
        <v>1320</v>
      </c>
      <c r="AK49" s="44">
        <v>0</v>
      </c>
      <c r="AS49" s="25">
        <v>0</v>
      </c>
      <c r="AT49" s="54">
        <v>0</v>
      </c>
      <c r="AU49" s="52">
        <v>0</v>
      </c>
      <c r="AV49" s="52">
        <v>0</v>
      </c>
      <c r="AW49" s="52">
        <v>0</v>
      </c>
      <c r="AX49" s="38">
        <v>30</v>
      </c>
      <c r="AY49" s="38">
        <v>5</v>
      </c>
      <c r="AZ49" s="38">
        <v>77</v>
      </c>
      <c r="BA49" s="38">
        <v>77</v>
      </c>
      <c r="BB49" s="38">
        <v>77</v>
      </c>
      <c r="BC49" s="38" t="s">
        <v>259</v>
      </c>
      <c r="BD49" s="38">
        <v>8</v>
      </c>
      <c r="BE49" s="38" t="s">
        <v>259</v>
      </c>
      <c r="BF49" s="38" t="s">
        <v>259</v>
      </c>
      <c r="BG49" s="38" t="s">
        <v>259</v>
      </c>
      <c r="BH49" s="40">
        <v>0</v>
      </c>
      <c r="BI49" s="40" t="s">
        <v>1416</v>
      </c>
      <c r="BJ49" s="40">
        <v>0</v>
      </c>
    </row>
    <row r="50" spans="1:62" x14ac:dyDescent="0.25">
      <c r="A50" s="6">
        <v>59</v>
      </c>
      <c r="B50" s="6" t="s">
        <v>1695</v>
      </c>
      <c r="C50" s="6" t="s">
        <v>237</v>
      </c>
      <c r="D50" s="6" t="s">
        <v>237</v>
      </c>
      <c r="E50" s="6" t="s">
        <v>1166</v>
      </c>
      <c r="F50" s="6" t="s">
        <v>1167</v>
      </c>
      <c r="G50" s="17">
        <v>41982.678356481483</v>
      </c>
      <c r="H50" s="21">
        <v>1</v>
      </c>
      <c r="I50" s="4">
        <f t="shared" ref="I50:I57" si="0">G50+H50/24</f>
        <v>41982.720023148147</v>
      </c>
      <c r="J50" s="3">
        <v>150</v>
      </c>
      <c r="K50" s="3">
        <v>21890</v>
      </c>
      <c r="L50" s="3">
        <f>J50*K50^2/2/4.184/10^12</f>
        <v>8.589366037284895E-3</v>
      </c>
      <c r="M50" s="3">
        <v>252.833</v>
      </c>
      <c r="N50" s="3">
        <v>63.965000000000003</v>
      </c>
      <c r="O50" s="3" t="s">
        <v>1334</v>
      </c>
      <c r="P50" s="3">
        <v>49.516089999999998</v>
      </c>
      <c r="Q50" s="3">
        <v>15.9909</v>
      </c>
      <c r="R50" s="3">
        <v>24710</v>
      </c>
      <c r="S50" s="3">
        <v>24710</v>
      </c>
      <c r="T50" s="3">
        <v>21970</v>
      </c>
      <c r="U50" s="3">
        <v>64.704999999999998</v>
      </c>
      <c r="V50" s="3">
        <v>24600</v>
      </c>
      <c r="W50" s="3" t="s">
        <v>115</v>
      </c>
      <c r="X50" s="3" t="s">
        <v>249</v>
      </c>
      <c r="Y50" s="3">
        <v>3050</v>
      </c>
      <c r="Z50" s="3">
        <v>98062</v>
      </c>
      <c r="AA50" s="3">
        <v>98062</v>
      </c>
      <c r="AB50" s="5">
        <v>20</v>
      </c>
      <c r="AC50" s="5">
        <v>4.0000000000000001E-3</v>
      </c>
      <c r="AD50" s="5">
        <v>4.0000000000000001E-3</v>
      </c>
      <c r="AE50" s="5">
        <v>6.0000000000000002E-5</v>
      </c>
      <c r="AF50" s="5">
        <v>4.0000000000000003E-5</v>
      </c>
      <c r="AG50" s="5">
        <v>20</v>
      </c>
      <c r="AH50" s="5">
        <v>-1.5</v>
      </c>
      <c r="AI50" s="5">
        <v>1.5</v>
      </c>
      <c r="AJ50" s="44" t="s">
        <v>1320</v>
      </c>
      <c r="AK50" s="44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5">
        <v>0</v>
      </c>
      <c r="AT50" s="54">
        <v>0</v>
      </c>
      <c r="AU50" s="52">
        <v>0</v>
      </c>
      <c r="AV50" s="52">
        <v>0</v>
      </c>
      <c r="AW50" s="52">
        <v>0</v>
      </c>
      <c r="AX50" s="38">
        <v>-1</v>
      </c>
      <c r="AY50" s="38">
        <v>132</v>
      </c>
      <c r="AZ50" s="38">
        <v>48</v>
      </c>
      <c r="BA50" s="38">
        <v>48</v>
      </c>
      <c r="BB50" s="38" t="s">
        <v>259</v>
      </c>
      <c r="BC50" s="38">
        <v>132</v>
      </c>
      <c r="BD50" s="38">
        <v>132</v>
      </c>
      <c r="BE50" s="38">
        <v>48</v>
      </c>
      <c r="BF50" s="38" t="s">
        <v>259</v>
      </c>
      <c r="BG50" s="38" t="s">
        <v>259</v>
      </c>
      <c r="BH50" s="40">
        <v>0</v>
      </c>
      <c r="BI50" s="40" t="s">
        <v>1416</v>
      </c>
      <c r="BJ50" s="40">
        <v>0</v>
      </c>
    </row>
    <row r="51" spans="1:62" x14ac:dyDescent="0.25">
      <c r="A51" s="6">
        <v>172</v>
      </c>
      <c r="B51" s="6" t="s">
        <v>1797</v>
      </c>
      <c r="C51" s="6" t="s">
        <v>1571</v>
      </c>
      <c r="E51" s="6" t="s">
        <v>1592</v>
      </c>
      <c r="F51" s="6" t="s">
        <v>71</v>
      </c>
      <c r="G51" s="17">
        <v>42013.732638888891</v>
      </c>
      <c r="H51" s="21">
        <v>-2</v>
      </c>
      <c r="I51" s="4">
        <f t="shared" si="0"/>
        <v>42013.649305555555</v>
      </c>
      <c r="J51" s="3">
        <v>0.97599999999999998</v>
      </c>
      <c r="P51" s="3">
        <v>-23.16</v>
      </c>
      <c r="Q51" s="3">
        <v>-48.181111000000001</v>
      </c>
      <c r="W51" s="3" t="s">
        <v>115</v>
      </c>
      <c r="X51" s="3" t="s">
        <v>1578</v>
      </c>
      <c r="AH51" s="5">
        <v>-1.5</v>
      </c>
      <c r="AI51" s="5">
        <v>1.5</v>
      </c>
      <c r="AJ51" s="44">
        <v>0</v>
      </c>
      <c r="AK51" s="44">
        <v>0</v>
      </c>
      <c r="AL51" s="45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5">
        <v>0</v>
      </c>
      <c r="AT51" s="54">
        <v>0</v>
      </c>
      <c r="AU51" s="52">
        <v>0</v>
      </c>
      <c r="AV51" s="52">
        <v>0</v>
      </c>
      <c r="AW51" s="52">
        <v>0</v>
      </c>
      <c r="AX51" s="38">
        <v>0</v>
      </c>
      <c r="AY51" s="38">
        <v>139</v>
      </c>
      <c r="AZ51" s="38">
        <v>0</v>
      </c>
      <c r="BA51" s="38">
        <v>0</v>
      </c>
      <c r="BB51" s="38">
        <v>0</v>
      </c>
      <c r="BC51" s="38">
        <v>0</v>
      </c>
      <c r="BD51" s="38">
        <v>138</v>
      </c>
      <c r="BE51" s="38">
        <v>0</v>
      </c>
      <c r="BF51" s="38">
        <v>0</v>
      </c>
      <c r="BG51" s="38">
        <v>0</v>
      </c>
      <c r="BH51" s="40">
        <v>0</v>
      </c>
      <c r="BI51" s="40" t="s">
        <v>1416</v>
      </c>
      <c r="BJ51" s="40">
        <v>0</v>
      </c>
    </row>
    <row r="52" spans="1:62" x14ac:dyDescent="0.25">
      <c r="A52" s="6">
        <v>132</v>
      </c>
      <c r="B52" s="6" t="s">
        <v>1762</v>
      </c>
      <c r="C52" s="6" t="s">
        <v>1475</v>
      </c>
      <c r="G52" s="17">
        <v>42169.127152777779</v>
      </c>
      <c r="H52" s="21">
        <v>8</v>
      </c>
      <c r="I52" s="4">
        <f t="shared" si="0"/>
        <v>42169.460486111115</v>
      </c>
      <c r="J52" s="3">
        <v>1814</v>
      </c>
      <c r="K52" s="3">
        <v>31858</v>
      </c>
      <c r="L52" s="3">
        <f>J52*K52^2/2/4.184/10^12</f>
        <v>0.22001517035086041</v>
      </c>
      <c r="M52" s="3">
        <v>150.49700000000001</v>
      </c>
      <c r="N52" s="3">
        <v>62.146000000000001</v>
      </c>
      <c r="O52" s="3" t="s">
        <v>1334</v>
      </c>
      <c r="P52" s="3">
        <v>6.3</v>
      </c>
      <c r="Q52" s="3">
        <v>124.1</v>
      </c>
      <c r="R52" s="3">
        <v>32400</v>
      </c>
      <c r="S52" s="3">
        <v>32400</v>
      </c>
      <c r="T52" s="3">
        <v>31858</v>
      </c>
      <c r="U52" s="3">
        <v>62.146000000000001</v>
      </c>
      <c r="V52" s="3">
        <v>25000</v>
      </c>
      <c r="W52" s="3" t="s">
        <v>144</v>
      </c>
      <c r="X52" s="3" t="s">
        <v>382</v>
      </c>
      <c r="Y52" s="3">
        <v>0</v>
      </c>
      <c r="Z52" s="3">
        <v>60000</v>
      </c>
      <c r="AA52" s="3">
        <v>60000</v>
      </c>
      <c r="AB52" s="5">
        <v>1000</v>
      </c>
      <c r="AC52" s="5">
        <v>2</v>
      </c>
      <c r="AD52" s="5">
        <v>2</v>
      </c>
      <c r="AE52" s="5">
        <v>0.05</v>
      </c>
      <c r="AF52" s="5">
        <v>0.05</v>
      </c>
      <c r="AG52" s="5">
        <v>1000</v>
      </c>
      <c r="AH52" s="5">
        <v>-1.5</v>
      </c>
      <c r="AI52" s="5">
        <v>1.5</v>
      </c>
      <c r="AJ52" s="44">
        <v>0</v>
      </c>
      <c r="AK52" s="44">
        <v>0</v>
      </c>
      <c r="AL52" s="45">
        <v>0</v>
      </c>
      <c r="AM52" s="23">
        <v>0</v>
      </c>
      <c r="AN52" s="23">
        <v>0</v>
      </c>
      <c r="AO52" s="23">
        <v>0</v>
      </c>
      <c r="AP52" s="23">
        <v>0</v>
      </c>
      <c r="AQ52" s="23">
        <v>0</v>
      </c>
      <c r="AR52" s="23">
        <v>0</v>
      </c>
      <c r="AS52" s="25">
        <v>0</v>
      </c>
      <c r="AT52" s="54">
        <v>0</v>
      </c>
      <c r="AU52" s="52">
        <v>0</v>
      </c>
      <c r="AV52" s="52">
        <v>0</v>
      </c>
      <c r="AW52" s="52">
        <v>0</v>
      </c>
      <c r="AX52" s="38">
        <v>0</v>
      </c>
      <c r="AY52" s="38">
        <v>0</v>
      </c>
      <c r="AZ52" s="38">
        <v>0</v>
      </c>
      <c r="BA52" s="38">
        <v>0</v>
      </c>
      <c r="BB52" s="38">
        <v>0</v>
      </c>
      <c r="BC52" s="38">
        <v>0</v>
      </c>
      <c r="BD52" s="38">
        <v>0</v>
      </c>
      <c r="BE52" s="38">
        <v>0</v>
      </c>
      <c r="BF52" s="38">
        <v>0</v>
      </c>
      <c r="BG52" s="38">
        <v>0</v>
      </c>
      <c r="BH52" s="40">
        <v>2</v>
      </c>
      <c r="BI52" s="40" t="s">
        <v>1416</v>
      </c>
      <c r="BJ52" s="40">
        <v>0</v>
      </c>
    </row>
    <row r="53" spans="1:62" x14ac:dyDescent="0.25">
      <c r="A53" s="6">
        <v>8</v>
      </c>
      <c r="B53" s="6" t="s">
        <v>1649</v>
      </c>
      <c r="C53" s="6" t="s">
        <v>64</v>
      </c>
      <c r="D53" s="6" t="s">
        <v>64</v>
      </c>
      <c r="E53" s="6" t="s">
        <v>66</v>
      </c>
      <c r="F53" s="6" t="s">
        <v>63</v>
      </c>
      <c r="G53" s="17">
        <v>42189.069571759261</v>
      </c>
      <c r="H53" s="21">
        <v>8</v>
      </c>
      <c r="I53" s="4">
        <f t="shared" si="0"/>
        <v>42189.402905092596</v>
      </c>
      <c r="J53" s="3">
        <v>627</v>
      </c>
      <c r="K53" s="3">
        <v>49000</v>
      </c>
      <c r="L53" s="36">
        <f>J53*K53^2/2/4.184/10^12</f>
        <v>0.17990284416826005</v>
      </c>
      <c r="M53" s="3">
        <v>69.91273267281943</v>
      </c>
      <c r="N53" s="3">
        <v>10.367100934087659</v>
      </c>
      <c r="O53" s="3" t="s">
        <v>1270</v>
      </c>
      <c r="P53" s="3">
        <v>38.6</v>
      </c>
      <c r="Q53" s="3">
        <v>103.1</v>
      </c>
      <c r="R53" s="3">
        <v>46300</v>
      </c>
      <c r="S53" s="3">
        <v>46300</v>
      </c>
      <c r="T53" s="3">
        <v>49000</v>
      </c>
      <c r="U53" s="3">
        <v>10.367100934087659</v>
      </c>
      <c r="V53" s="3">
        <v>10000</v>
      </c>
      <c r="W53" s="3" t="s">
        <v>81</v>
      </c>
      <c r="X53" s="9" t="s">
        <v>382</v>
      </c>
      <c r="Y53" s="3">
        <v>0</v>
      </c>
      <c r="Z53" s="3">
        <v>85000</v>
      </c>
      <c r="AA53" s="3">
        <v>85000</v>
      </c>
      <c r="AB53" s="5">
        <f>K53*0.05</f>
        <v>2450</v>
      </c>
      <c r="AC53" s="5">
        <v>15</v>
      </c>
      <c r="AD53" s="5">
        <v>1.2</v>
      </c>
      <c r="AE53" s="5">
        <v>0.05</v>
      </c>
      <c r="AF53" s="5">
        <v>0.05</v>
      </c>
      <c r="AG53" s="5">
        <f>0.05*R53</f>
        <v>2315</v>
      </c>
      <c r="AH53" s="5">
        <v>-1.5</v>
      </c>
      <c r="AI53" s="5">
        <v>1.5</v>
      </c>
      <c r="AJ53" s="44" t="s">
        <v>1320</v>
      </c>
      <c r="AK53" s="44">
        <v>0</v>
      </c>
      <c r="AM53" s="23">
        <v>0</v>
      </c>
      <c r="AN53" s="23">
        <v>0</v>
      </c>
      <c r="AO53" s="23">
        <v>0</v>
      </c>
      <c r="AP53" s="23">
        <v>0</v>
      </c>
      <c r="AQ53" s="23">
        <v>0</v>
      </c>
      <c r="AR53" s="23">
        <v>0</v>
      </c>
      <c r="AS53" s="23">
        <v>0</v>
      </c>
      <c r="AT53" s="54">
        <v>0</v>
      </c>
      <c r="AU53" s="52">
        <v>0</v>
      </c>
      <c r="AV53" s="52">
        <v>0</v>
      </c>
      <c r="AW53" s="52">
        <v>0</v>
      </c>
      <c r="BH53" s="40">
        <v>2</v>
      </c>
      <c r="BI53" s="40" t="s">
        <v>1416</v>
      </c>
      <c r="BJ53" s="40">
        <v>0</v>
      </c>
    </row>
    <row r="54" spans="1:62" x14ac:dyDescent="0.25">
      <c r="A54" s="6">
        <v>62</v>
      </c>
      <c r="B54" s="6" t="s">
        <v>1698</v>
      </c>
      <c r="C54" s="6" t="s">
        <v>390</v>
      </c>
      <c r="D54" s="6" t="s">
        <v>390</v>
      </c>
      <c r="E54" s="6" t="s">
        <v>393</v>
      </c>
      <c r="F54" s="6" t="s">
        <v>391</v>
      </c>
      <c r="G54" s="17">
        <v>42249.84058935185</v>
      </c>
      <c r="H54" s="21">
        <v>2</v>
      </c>
      <c r="I54" s="4">
        <f t="shared" si="0"/>
        <v>42249.923922685186</v>
      </c>
      <c r="J54" s="37">
        <v>1879</v>
      </c>
      <c r="K54" s="3">
        <v>17100</v>
      </c>
      <c r="L54" s="3">
        <f>J54*K54^2/2/4.184/10^12</f>
        <v>6.5659463432122367E-2</v>
      </c>
      <c r="M54" s="3">
        <v>140.69999999999999</v>
      </c>
      <c r="N54" s="3">
        <v>36.6</v>
      </c>
      <c r="O54" s="3" t="s">
        <v>1270</v>
      </c>
      <c r="P54" s="3">
        <v>38.9268</v>
      </c>
      <c r="Q54" s="3">
        <v>40.568300000000001</v>
      </c>
      <c r="R54" s="3">
        <v>21300</v>
      </c>
      <c r="S54" s="3">
        <v>21300</v>
      </c>
      <c r="T54" s="3">
        <v>17100</v>
      </c>
      <c r="U54" s="3">
        <v>36.6</v>
      </c>
      <c r="V54" s="3">
        <v>21300</v>
      </c>
      <c r="W54" s="3" t="s">
        <v>81</v>
      </c>
      <c r="X54" s="9" t="s">
        <v>392</v>
      </c>
      <c r="Y54" s="3">
        <v>3209</v>
      </c>
      <c r="Z54" s="3">
        <v>85000</v>
      </c>
      <c r="AA54" s="3">
        <v>85000</v>
      </c>
      <c r="AB54" s="5">
        <v>800</v>
      </c>
      <c r="AC54" s="5">
        <v>1</v>
      </c>
      <c r="AD54" s="5">
        <v>0.8</v>
      </c>
      <c r="AE54" s="5">
        <v>8.9999999999999993E-3</v>
      </c>
      <c r="AF54" s="5">
        <v>8.9999999999999993E-3</v>
      </c>
      <c r="AG54" s="5">
        <v>500</v>
      </c>
      <c r="AH54" s="5">
        <v>-1.5</v>
      </c>
      <c r="AI54" s="5">
        <v>1.5</v>
      </c>
      <c r="AJ54" s="44" t="s">
        <v>1320</v>
      </c>
      <c r="AK54" s="44">
        <v>0</v>
      </c>
      <c r="AM54" s="23">
        <v>0</v>
      </c>
      <c r="AN54" s="23">
        <v>0</v>
      </c>
      <c r="AO54" s="23">
        <v>0</v>
      </c>
      <c r="AP54" s="23">
        <v>0</v>
      </c>
      <c r="AQ54" s="23">
        <v>0</v>
      </c>
      <c r="AR54" s="23">
        <v>0</v>
      </c>
      <c r="AS54" s="25">
        <v>0</v>
      </c>
      <c r="AT54" s="54">
        <v>0</v>
      </c>
      <c r="AU54" s="52">
        <v>0</v>
      </c>
      <c r="AV54" s="52">
        <v>0</v>
      </c>
      <c r="AW54" s="52">
        <v>0</v>
      </c>
      <c r="BH54" s="40">
        <v>3</v>
      </c>
      <c r="BI54" s="40" t="s">
        <v>1416</v>
      </c>
      <c r="BJ54" s="40">
        <v>0</v>
      </c>
    </row>
    <row r="55" spans="1:62" x14ac:dyDescent="0.25">
      <c r="A55" s="6">
        <v>163</v>
      </c>
      <c r="B55" s="6" t="s">
        <v>1788</v>
      </c>
      <c r="C55" s="6" t="s">
        <v>1562</v>
      </c>
      <c r="D55" s="6" t="s">
        <v>1581</v>
      </c>
      <c r="E55" s="6" t="s">
        <v>109</v>
      </c>
      <c r="F55" s="6" t="s">
        <v>4</v>
      </c>
      <c r="G55" s="17">
        <v>42301.241481481484</v>
      </c>
      <c r="H55" s="21">
        <v>-7</v>
      </c>
      <c r="I55" s="4">
        <f t="shared" si="0"/>
        <v>42300.94981481482</v>
      </c>
      <c r="J55" s="3">
        <v>60</v>
      </c>
      <c r="P55" s="3">
        <v>35.570278000000002</v>
      </c>
      <c r="Q55" s="3">
        <v>-120.4725</v>
      </c>
      <c r="W55" s="3" t="s">
        <v>115</v>
      </c>
      <c r="X55" s="9" t="s">
        <v>245</v>
      </c>
      <c r="AH55" s="5">
        <v>-1.5</v>
      </c>
      <c r="AI55" s="5">
        <v>1.5</v>
      </c>
      <c r="AJ55" s="44">
        <v>0</v>
      </c>
      <c r="AK55" s="44">
        <v>0</v>
      </c>
      <c r="AL55" s="45">
        <v>0</v>
      </c>
      <c r="AM55" s="23">
        <v>0</v>
      </c>
      <c r="AN55" s="23">
        <v>0</v>
      </c>
      <c r="AO55" s="23">
        <v>0</v>
      </c>
      <c r="AP55" s="23">
        <v>0</v>
      </c>
      <c r="AQ55" s="23">
        <v>0</v>
      </c>
      <c r="AR55" s="23">
        <v>0</v>
      </c>
      <c r="AS55" s="25">
        <v>0</v>
      </c>
      <c r="AT55" s="54">
        <v>0</v>
      </c>
      <c r="AU55" s="52">
        <v>0</v>
      </c>
      <c r="AV55" s="52">
        <v>0</v>
      </c>
      <c r="AW55" s="52">
        <v>0</v>
      </c>
      <c r="AX55" s="38">
        <v>0</v>
      </c>
      <c r="AY55" s="38">
        <v>139</v>
      </c>
      <c r="AZ55" s="38">
        <v>0</v>
      </c>
      <c r="BA55" s="38">
        <v>0</v>
      </c>
      <c r="BB55" s="38">
        <v>0</v>
      </c>
      <c r="BC55" s="38">
        <v>0</v>
      </c>
      <c r="BD55" s="38">
        <v>138</v>
      </c>
      <c r="BE55" s="38">
        <v>0</v>
      </c>
      <c r="BF55" s="38">
        <v>0</v>
      </c>
      <c r="BG55" s="38">
        <v>0</v>
      </c>
      <c r="BH55" s="40">
        <v>0</v>
      </c>
      <c r="BI55" s="40" t="s">
        <v>1416</v>
      </c>
      <c r="BJ55" s="40">
        <v>0</v>
      </c>
    </row>
    <row r="56" spans="1:62" x14ac:dyDescent="0.25">
      <c r="A56" s="6">
        <v>169</v>
      </c>
      <c r="B56" s="6" t="s">
        <v>1794</v>
      </c>
      <c r="C56" s="6" t="s">
        <v>1568</v>
      </c>
      <c r="D56" s="6" t="s">
        <v>1587</v>
      </c>
      <c r="E56" s="6" t="s">
        <v>1393</v>
      </c>
      <c r="F56" s="6" t="s">
        <v>100</v>
      </c>
      <c r="G56" s="17">
        <v>42335.447048611109</v>
      </c>
      <c r="H56" s="21">
        <v>9.5</v>
      </c>
      <c r="I56" s="4">
        <f t="shared" si="0"/>
        <v>42335.842881944445</v>
      </c>
      <c r="P56" s="3">
        <v>-29.26089</v>
      </c>
      <c r="Q56" s="3">
        <v>137.53765000000001</v>
      </c>
      <c r="W56" s="3" t="s">
        <v>79</v>
      </c>
      <c r="X56" s="9" t="s">
        <v>239</v>
      </c>
      <c r="AH56" s="5">
        <v>-1.5</v>
      </c>
      <c r="AI56" s="5">
        <v>1.5</v>
      </c>
      <c r="AJ56" s="44">
        <v>0</v>
      </c>
      <c r="AK56" s="44">
        <v>0</v>
      </c>
      <c r="AL56" s="45">
        <v>0</v>
      </c>
      <c r="AM56" s="23">
        <v>0</v>
      </c>
      <c r="AN56" s="23">
        <v>0</v>
      </c>
      <c r="AO56" s="23">
        <v>0</v>
      </c>
      <c r="AP56" s="23">
        <v>0</v>
      </c>
      <c r="AQ56" s="23">
        <v>0</v>
      </c>
      <c r="AR56" s="23">
        <v>0</v>
      </c>
      <c r="AS56" s="25">
        <v>0</v>
      </c>
      <c r="AT56" s="54">
        <v>0</v>
      </c>
      <c r="AU56" s="52">
        <v>0</v>
      </c>
      <c r="AV56" s="52">
        <v>0</v>
      </c>
      <c r="AW56" s="52">
        <v>0</v>
      </c>
      <c r="AX56" s="38">
        <v>0</v>
      </c>
      <c r="AY56" s="38">
        <v>139</v>
      </c>
      <c r="AZ56" s="38">
        <v>0</v>
      </c>
      <c r="BA56" s="38">
        <v>0</v>
      </c>
      <c r="BB56" s="38">
        <v>0</v>
      </c>
      <c r="BC56" s="38">
        <v>0</v>
      </c>
      <c r="BD56" s="38">
        <v>138</v>
      </c>
      <c r="BE56" s="38">
        <v>0</v>
      </c>
      <c r="BF56" s="38">
        <v>0</v>
      </c>
      <c r="BG56" s="38">
        <v>0</v>
      </c>
      <c r="BH56" s="40">
        <v>0</v>
      </c>
      <c r="BI56" s="40" t="s">
        <v>1416</v>
      </c>
      <c r="BJ56" s="40">
        <v>0</v>
      </c>
    </row>
    <row r="57" spans="1:62" x14ac:dyDescent="0.25">
      <c r="A57" s="6">
        <v>170</v>
      </c>
      <c r="B57" s="6" t="s">
        <v>1795</v>
      </c>
      <c r="C57" s="6" t="s">
        <v>1569</v>
      </c>
      <c r="D57" s="6" t="s">
        <v>1588</v>
      </c>
      <c r="E57" s="6" t="s">
        <v>1589</v>
      </c>
      <c r="F57" s="6" t="s">
        <v>4</v>
      </c>
      <c r="G57" s="17">
        <v>42393.643750000003</v>
      </c>
      <c r="H57" s="21">
        <v>-5</v>
      </c>
      <c r="I57" s="4">
        <f t="shared" si="0"/>
        <v>42393.435416666667</v>
      </c>
      <c r="J57" s="3">
        <v>1800</v>
      </c>
      <c r="P57" s="3">
        <v>30.452667000000002</v>
      </c>
      <c r="Q57" s="3">
        <v>-82.454166999999998</v>
      </c>
      <c r="W57" s="3" t="s">
        <v>115</v>
      </c>
      <c r="X57" s="9" t="s">
        <v>245</v>
      </c>
      <c r="AH57" s="5">
        <v>-1.5</v>
      </c>
      <c r="AI57" s="5">
        <v>1.5</v>
      </c>
      <c r="AJ57" s="44">
        <v>0</v>
      </c>
      <c r="AK57" s="44">
        <v>0</v>
      </c>
      <c r="AL57" s="45">
        <v>0</v>
      </c>
      <c r="AM57" s="23">
        <v>0</v>
      </c>
      <c r="AN57" s="23">
        <v>0</v>
      </c>
      <c r="AO57" s="23">
        <v>0</v>
      </c>
      <c r="AP57" s="23">
        <v>0</v>
      </c>
      <c r="AQ57" s="23">
        <v>0</v>
      </c>
      <c r="AR57" s="23">
        <v>0</v>
      </c>
      <c r="AS57" s="25">
        <v>0</v>
      </c>
      <c r="AT57" s="54">
        <v>0</v>
      </c>
      <c r="AU57" s="52">
        <v>0</v>
      </c>
      <c r="AV57" s="52">
        <v>0</v>
      </c>
      <c r="AW57" s="52">
        <v>0</v>
      </c>
      <c r="AX57" s="38">
        <v>0</v>
      </c>
      <c r="AY57" s="38">
        <v>139</v>
      </c>
      <c r="AZ57" s="38">
        <v>0</v>
      </c>
      <c r="BA57" s="38">
        <v>0</v>
      </c>
      <c r="BB57" s="38">
        <v>0</v>
      </c>
      <c r="BC57" s="38">
        <v>0</v>
      </c>
      <c r="BD57" s="38">
        <v>138</v>
      </c>
      <c r="BE57" s="38">
        <v>0</v>
      </c>
      <c r="BF57" s="38">
        <v>0</v>
      </c>
      <c r="BG57" s="38">
        <v>0</v>
      </c>
      <c r="BH57" s="40">
        <v>0</v>
      </c>
      <c r="BI57" s="40" t="s">
        <v>1416</v>
      </c>
      <c r="BJ57" s="40">
        <v>0</v>
      </c>
    </row>
    <row r="58" spans="1:62" x14ac:dyDescent="0.25">
      <c r="A58" s="6">
        <v>60</v>
      </c>
      <c r="B58" s="6" t="s">
        <v>1696</v>
      </c>
      <c r="C58" s="6" t="s">
        <v>238</v>
      </c>
      <c r="G58" s="17">
        <v>42406.878125000003</v>
      </c>
      <c r="K58" s="3">
        <v>14500</v>
      </c>
      <c r="P58" s="3">
        <v>55.448999999999998</v>
      </c>
      <c r="Q58" s="3">
        <v>11.912000000000001</v>
      </c>
      <c r="T58" s="3">
        <v>14500</v>
      </c>
      <c r="X58" s="9" t="s">
        <v>250</v>
      </c>
      <c r="Y58" s="3">
        <v>0</v>
      </c>
      <c r="AB58" s="5">
        <v>100</v>
      </c>
      <c r="AJ58" s="44" t="s">
        <v>1320</v>
      </c>
      <c r="AK58" s="44">
        <v>0</v>
      </c>
      <c r="AS58" s="25">
        <v>0</v>
      </c>
      <c r="AT58" s="54">
        <v>0</v>
      </c>
      <c r="AU58" s="52">
        <v>0</v>
      </c>
      <c r="AV58" s="52">
        <v>0</v>
      </c>
      <c r="AW58" s="52">
        <v>0</v>
      </c>
      <c r="AX58" s="38">
        <v>-1</v>
      </c>
      <c r="AY58" s="38">
        <v>5</v>
      </c>
      <c r="AZ58" s="38">
        <v>16</v>
      </c>
      <c r="BA58" s="38" t="s">
        <v>259</v>
      </c>
      <c r="BB58" s="38" t="s">
        <v>259</v>
      </c>
      <c r="BC58" s="38" t="s">
        <v>259</v>
      </c>
      <c r="BD58" s="38">
        <v>16</v>
      </c>
      <c r="BE58" s="38" t="s">
        <v>259</v>
      </c>
      <c r="BF58" s="38" t="s">
        <v>259</v>
      </c>
      <c r="BG58" s="38" t="s">
        <v>259</v>
      </c>
      <c r="BH58" s="40">
        <v>0</v>
      </c>
      <c r="BI58" s="40" t="s">
        <v>1416</v>
      </c>
      <c r="BJ58" s="40">
        <v>0</v>
      </c>
    </row>
    <row r="59" spans="1:62" x14ac:dyDescent="0.25">
      <c r="A59" s="6">
        <v>173</v>
      </c>
      <c r="B59" s="6" t="s">
        <v>1798</v>
      </c>
      <c r="C59" s="6" t="s">
        <v>1572</v>
      </c>
      <c r="D59" s="6" t="s">
        <v>1593</v>
      </c>
      <c r="E59" s="6" t="s">
        <v>1594</v>
      </c>
      <c r="F59" s="6" t="s">
        <v>142</v>
      </c>
      <c r="G59" s="17">
        <v>42435.900590277779</v>
      </c>
      <c r="H59" s="21">
        <v>1</v>
      </c>
      <c r="I59" s="4">
        <f t="shared" ref="I59:I92" si="1">G59+H59/24</f>
        <v>42435.942256944443</v>
      </c>
      <c r="J59" s="3">
        <v>600</v>
      </c>
      <c r="P59" s="3">
        <v>48.295000000000002</v>
      </c>
      <c r="Q59" s="3">
        <v>13.116667</v>
      </c>
      <c r="W59" s="3" t="s">
        <v>115</v>
      </c>
      <c r="X59" s="9" t="s">
        <v>1579</v>
      </c>
      <c r="AH59" s="5">
        <v>-1.5</v>
      </c>
      <c r="AI59" s="5">
        <v>1.5</v>
      </c>
      <c r="AJ59" s="44">
        <v>0</v>
      </c>
      <c r="AK59" s="44">
        <v>0</v>
      </c>
      <c r="AL59" s="45">
        <v>0</v>
      </c>
      <c r="AM59" s="23">
        <v>0</v>
      </c>
      <c r="AN59" s="23">
        <v>0</v>
      </c>
      <c r="AO59" s="23">
        <v>0</v>
      </c>
      <c r="AP59" s="23">
        <v>0</v>
      </c>
      <c r="AQ59" s="23">
        <v>0</v>
      </c>
      <c r="AR59" s="23">
        <v>0</v>
      </c>
      <c r="AS59" s="25">
        <v>0</v>
      </c>
      <c r="AT59" s="54">
        <v>0</v>
      </c>
      <c r="AU59" s="52">
        <v>0</v>
      </c>
      <c r="AV59" s="52">
        <v>0</v>
      </c>
      <c r="AW59" s="52">
        <v>0</v>
      </c>
      <c r="AX59" s="38">
        <v>0</v>
      </c>
      <c r="AY59" s="38">
        <v>139</v>
      </c>
      <c r="AZ59" s="38">
        <v>0</v>
      </c>
      <c r="BA59" s="38">
        <v>0</v>
      </c>
      <c r="BB59" s="38">
        <v>0</v>
      </c>
      <c r="BC59" s="38">
        <v>0</v>
      </c>
      <c r="BD59" s="38">
        <v>138</v>
      </c>
      <c r="BE59" s="38">
        <v>0</v>
      </c>
      <c r="BF59" s="38">
        <v>0</v>
      </c>
      <c r="BG59" s="38">
        <v>0</v>
      </c>
      <c r="BH59" s="40">
        <v>0</v>
      </c>
      <c r="BI59" s="40" t="s">
        <v>1416</v>
      </c>
      <c r="BJ59" s="40">
        <v>0</v>
      </c>
    </row>
    <row r="60" spans="1:62" x14ac:dyDescent="0.25">
      <c r="A60" s="6">
        <v>119</v>
      </c>
      <c r="B60" s="6" t="s">
        <v>1749</v>
      </c>
      <c r="C60" s="6" t="s">
        <v>1431</v>
      </c>
      <c r="D60" s="6" t="s">
        <v>1430</v>
      </c>
      <c r="E60" s="6" t="s">
        <v>1227</v>
      </c>
      <c r="F60" s="6" t="s">
        <v>4</v>
      </c>
      <c r="G60" s="17">
        <v>42523.455925925926</v>
      </c>
      <c r="H60" s="21">
        <v>-7</v>
      </c>
      <c r="I60" s="4">
        <f t="shared" si="1"/>
        <v>42523.164259259262</v>
      </c>
      <c r="J60" s="3">
        <v>12000</v>
      </c>
      <c r="K60" s="3">
        <v>18300</v>
      </c>
      <c r="L60" s="3">
        <f>J60*K60^2/2/4.184/10^12</f>
        <v>0.48024378585086042</v>
      </c>
      <c r="M60" s="3">
        <v>191</v>
      </c>
      <c r="N60" s="3">
        <v>45</v>
      </c>
      <c r="O60" s="3" t="s">
        <v>1334</v>
      </c>
      <c r="P60" s="3">
        <v>33.908769999999997</v>
      </c>
      <c r="Q60" s="3">
        <v>-110.64364</v>
      </c>
      <c r="R60" s="3">
        <v>27000</v>
      </c>
      <c r="S60" s="3">
        <v>27000</v>
      </c>
      <c r="T60" s="3">
        <v>5000</v>
      </c>
      <c r="U60" s="3">
        <v>45</v>
      </c>
      <c r="V60" s="3">
        <v>33000</v>
      </c>
      <c r="W60" s="3" t="s">
        <v>1433</v>
      </c>
      <c r="X60" s="9" t="s">
        <v>1432</v>
      </c>
      <c r="Y60" s="3">
        <v>0</v>
      </c>
      <c r="Z60" s="3">
        <v>60000</v>
      </c>
      <c r="AA60" s="3">
        <v>60000</v>
      </c>
      <c r="AB60" s="5">
        <v>2000</v>
      </c>
      <c r="AC60" s="5">
        <v>1</v>
      </c>
      <c r="AD60" s="5">
        <v>5</v>
      </c>
      <c r="AE60" s="5">
        <v>5.0000000000000001E-4</v>
      </c>
      <c r="AF60" s="5">
        <v>5.0000000000000001E-4</v>
      </c>
      <c r="AG60" s="5">
        <v>3000</v>
      </c>
      <c r="AH60" s="5">
        <v>-1.5</v>
      </c>
      <c r="AI60" s="5">
        <v>1.5</v>
      </c>
      <c r="AJ60" s="44">
        <v>0</v>
      </c>
      <c r="AK60" s="44">
        <v>0</v>
      </c>
      <c r="AL60" s="45">
        <v>0</v>
      </c>
      <c r="AM60" s="23">
        <v>0</v>
      </c>
      <c r="AN60" s="23">
        <v>15</v>
      </c>
      <c r="AO60" s="23">
        <v>7.9500000000000001E-2</v>
      </c>
      <c r="AP60" s="23">
        <v>0</v>
      </c>
      <c r="AQ60" s="23">
        <v>0</v>
      </c>
      <c r="AR60" s="23">
        <v>0</v>
      </c>
      <c r="AS60" s="25">
        <v>0</v>
      </c>
      <c r="AT60" s="54">
        <v>0</v>
      </c>
      <c r="AU60" s="52">
        <v>0</v>
      </c>
      <c r="AV60" s="52">
        <v>0</v>
      </c>
      <c r="AW60" s="52">
        <v>0</v>
      </c>
      <c r="AX60" s="38">
        <v>0</v>
      </c>
      <c r="AY60" s="38">
        <v>0</v>
      </c>
      <c r="AZ60" s="38">
        <v>0</v>
      </c>
      <c r="BA60" s="38">
        <v>0</v>
      </c>
      <c r="BB60" s="38">
        <v>0</v>
      </c>
      <c r="BC60" s="38">
        <v>0</v>
      </c>
      <c r="BD60" s="38">
        <v>0</v>
      </c>
      <c r="BE60" s="38">
        <v>0</v>
      </c>
      <c r="BF60" s="38">
        <v>0</v>
      </c>
      <c r="BG60" s="38">
        <v>0</v>
      </c>
      <c r="BH60" s="40">
        <v>2</v>
      </c>
      <c r="BI60" s="40" t="s">
        <v>1416</v>
      </c>
      <c r="BJ60" s="40">
        <v>0</v>
      </c>
    </row>
    <row r="61" spans="1:62" x14ac:dyDescent="0.25">
      <c r="A61" s="6">
        <v>133</v>
      </c>
      <c r="B61" s="6" t="s">
        <v>1763</v>
      </c>
      <c r="C61" s="6" t="s">
        <v>1476</v>
      </c>
      <c r="F61" s="6" t="s">
        <v>418</v>
      </c>
      <c r="G61" s="17">
        <v>42644.849826388891</v>
      </c>
      <c r="H61" s="21">
        <v>1</v>
      </c>
      <c r="I61" s="4">
        <f t="shared" si="1"/>
        <v>42644.891493055555</v>
      </c>
      <c r="J61" s="3">
        <v>4564</v>
      </c>
      <c r="K61" s="3">
        <v>14202</v>
      </c>
      <c r="L61" s="3">
        <f>J61*K61^2/2/4.184/10^12</f>
        <v>0.11000767369216062</v>
      </c>
      <c r="M61" s="3">
        <v>110.732</v>
      </c>
      <c r="N61" s="3">
        <v>22.3</v>
      </c>
      <c r="O61" s="3" t="s">
        <v>1334</v>
      </c>
      <c r="P61" s="3">
        <v>36.200000000000003</v>
      </c>
      <c r="Q61" s="3">
        <v>6.7</v>
      </c>
      <c r="R61" s="3">
        <v>27800</v>
      </c>
      <c r="S61" s="3">
        <v>27800</v>
      </c>
      <c r="T61" s="3">
        <v>14202</v>
      </c>
      <c r="U61" s="3">
        <v>22.3</v>
      </c>
      <c r="V61" s="3">
        <v>25000</v>
      </c>
      <c r="W61" s="3" t="s">
        <v>144</v>
      </c>
      <c r="X61" s="9" t="s">
        <v>382</v>
      </c>
      <c r="Y61" s="3">
        <v>0</v>
      </c>
      <c r="Z61" s="3">
        <v>60000</v>
      </c>
      <c r="AA61" s="3">
        <v>60000</v>
      </c>
      <c r="AB61" s="5">
        <v>1000</v>
      </c>
      <c r="AC61" s="5">
        <v>2</v>
      </c>
      <c r="AD61" s="5">
        <v>2</v>
      </c>
      <c r="AE61" s="5">
        <v>0.05</v>
      </c>
      <c r="AF61" s="5">
        <v>0.05</v>
      </c>
      <c r="AG61" s="5">
        <v>1000</v>
      </c>
      <c r="AH61" s="5">
        <v>-1.5</v>
      </c>
      <c r="AI61" s="5">
        <v>1.5</v>
      </c>
      <c r="AJ61" s="44">
        <v>0</v>
      </c>
      <c r="AK61" s="44">
        <v>0</v>
      </c>
      <c r="AL61" s="45">
        <v>0</v>
      </c>
      <c r="AM61" s="23">
        <v>0</v>
      </c>
      <c r="AN61" s="23">
        <v>0</v>
      </c>
      <c r="AO61" s="23">
        <v>0</v>
      </c>
      <c r="AP61" s="23">
        <v>0</v>
      </c>
      <c r="AQ61" s="23">
        <v>0</v>
      </c>
      <c r="AR61" s="23">
        <v>0</v>
      </c>
      <c r="AS61" s="25">
        <v>0</v>
      </c>
      <c r="AT61" s="54">
        <v>0</v>
      </c>
      <c r="AU61" s="52">
        <v>0</v>
      </c>
      <c r="AV61" s="52">
        <v>0</v>
      </c>
      <c r="AW61" s="52">
        <v>0</v>
      </c>
      <c r="AX61" s="38">
        <v>0</v>
      </c>
      <c r="AY61" s="38">
        <v>0</v>
      </c>
      <c r="AZ61" s="38">
        <v>0</v>
      </c>
      <c r="BA61" s="38">
        <v>0</v>
      </c>
      <c r="BB61" s="38">
        <v>0</v>
      </c>
      <c r="BC61" s="38">
        <v>0</v>
      </c>
      <c r="BD61" s="38">
        <v>0</v>
      </c>
      <c r="BE61" s="38">
        <v>0</v>
      </c>
      <c r="BF61" s="38">
        <v>0</v>
      </c>
      <c r="BG61" s="38">
        <v>0</v>
      </c>
      <c r="BH61" s="40">
        <v>2</v>
      </c>
      <c r="BI61" s="40" t="s">
        <v>1416</v>
      </c>
      <c r="BJ61" s="40">
        <v>0</v>
      </c>
    </row>
    <row r="62" spans="1:62" x14ac:dyDescent="0.25">
      <c r="A62" s="6">
        <v>164</v>
      </c>
      <c r="B62" s="6" t="s">
        <v>1789</v>
      </c>
      <c r="C62" s="6" t="s">
        <v>1563</v>
      </c>
      <c r="D62" s="6" t="s">
        <v>1582</v>
      </c>
      <c r="E62" s="6" t="s">
        <v>1583</v>
      </c>
      <c r="F62" s="6" t="s">
        <v>100</v>
      </c>
      <c r="G62" s="17">
        <v>42674.502627314818</v>
      </c>
      <c r="H62" s="21">
        <v>8</v>
      </c>
      <c r="I62" s="4">
        <f t="shared" si="1"/>
        <v>42674.835960648154</v>
      </c>
      <c r="J62" s="3">
        <v>40</v>
      </c>
      <c r="P62" s="3">
        <v>-29.20608</v>
      </c>
      <c r="Q62" s="3">
        <v>116.21547</v>
      </c>
      <c r="W62" s="3" t="s">
        <v>115</v>
      </c>
      <c r="X62" s="9" t="s">
        <v>1577</v>
      </c>
      <c r="AH62" s="5">
        <v>-1.5</v>
      </c>
      <c r="AI62" s="5">
        <v>1.5</v>
      </c>
      <c r="AJ62" s="44">
        <v>0</v>
      </c>
      <c r="AK62" s="44">
        <v>0</v>
      </c>
      <c r="AL62" s="45">
        <v>0</v>
      </c>
      <c r="AM62" s="23">
        <v>0</v>
      </c>
      <c r="AN62" s="23">
        <v>0</v>
      </c>
      <c r="AO62" s="23">
        <v>0</v>
      </c>
      <c r="AP62" s="23">
        <v>0</v>
      </c>
      <c r="AQ62" s="23">
        <v>0</v>
      </c>
      <c r="AR62" s="23">
        <v>0</v>
      </c>
      <c r="AS62" s="25">
        <v>0</v>
      </c>
      <c r="AT62" s="54">
        <v>0</v>
      </c>
      <c r="AU62" s="52">
        <v>0</v>
      </c>
      <c r="AV62" s="52">
        <v>0</v>
      </c>
      <c r="AW62" s="52">
        <v>0</v>
      </c>
      <c r="AX62" s="38">
        <v>0</v>
      </c>
      <c r="AY62" s="38">
        <v>139</v>
      </c>
      <c r="AZ62" s="38">
        <v>0</v>
      </c>
      <c r="BA62" s="38">
        <v>0</v>
      </c>
      <c r="BB62" s="38">
        <v>0</v>
      </c>
      <c r="BC62" s="38">
        <v>0</v>
      </c>
      <c r="BD62" s="38">
        <v>138</v>
      </c>
      <c r="BE62" s="38">
        <v>0</v>
      </c>
      <c r="BF62" s="38">
        <v>0</v>
      </c>
      <c r="BG62" s="38">
        <v>0</v>
      </c>
      <c r="BH62" s="40">
        <v>0</v>
      </c>
      <c r="BI62" s="40" t="s">
        <v>1416</v>
      </c>
      <c r="BJ62" s="40">
        <v>0</v>
      </c>
    </row>
    <row r="63" spans="1:62" x14ac:dyDescent="0.25">
      <c r="A63" s="6">
        <v>104</v>
      </c>
      <c r="B63" s="6" t="s">
        <v>1735</v>
      </c>
      <c r="C63" s="6" t="s">
        <v>1386</v>
      </c>
      <c r="D63" s="6" t="s">
        <v>1386</v>
      </c>
      <c r="E63" s="6" t="s">
        <v>1390</v>
      </c>
      <c r="F63" s="6" t="s">
        <v>4</v>
      </c>
      <c r="G63" s="17">
        <v>42966.205266203702</v>
      </c>
      <c r="H63" s="21">
        <v>-5</v>
      </c>
      <c r="I63" s="4">
        <f t="shared" si="1"/>
        <v>42965.996932870366</v>
      </c>
      <c r="J63" s="3">
        <v>10</v>
      </c>
      <c r="K63" s="3">
        <v>15000</v>
      </c>
      <c r="L63" s="3">
        <f>J63*K63^2/2/4.184/10^12</f>
        <v>2.6888145315487571E-4</v>
      </c>
      <c r="M63" s="3">
        <v>300.762</v>
      </c>
      <c r="N63" s="3">
        <v>72.093000000000004</v>
      </c>
      <c r="O63" s="3" t="s">
        <v>1334</v>
      </c>
      <c r="P63" s="3">
        <v>33.188400000000001</v>
      </c>
      <c r="Q63" s="3">
        <v>-95.016000000000005</v>
      </c>
      <c r="R63" s="3">
        <v>36040</v>
      </c>
      <c r="S63" s="3">
        <v>36040</v>
      </c>
      <c r="T63" s="3">
        <v>6000</v>
      </c>
      <c r="U63" s="3">
        <v>72.093000000000004</v>
      </c>
      <c r="V63" s="3">
        <v>15000</v>
      </c>
      <c r="W63" s="3" t="s">
        <v>144</v>
      </c>
      <c r="X63" s="3" t="s">
        <v>382</v>
      </c>
      <c r="Y63" s="3">
        <v>0</v>
      </c>
      <c r="Z63" s="3">
        <v>60000</v>
      </c>
      <c r="AA63" s="3">
        <v>80000</v>
      </c>
      <c r="AB63" s="5">
        <v>1000</v>
      </c>
      <c r="AC63" s="5">
        <v>2</v>
      </c>
      <c r="AD63" s="5">
        <v>2</v>
      </c>
      <c r="AE63" s="5">
        <v>0.05</v>
      </c>
      <c r="AF63" s="5">
        <v>0.05</v>
      </c>
      <c r="AG63" s="5">
        <v>1000</v>
      </c>
      <c r="AH63" s="5">
        <v>-1.5</v>
      </c>
      <c r="AI63" s="5">
        <v>1.5</v>
      </c>
      <c r="AJ63" s="44">
        <v>0</v>
      </c>
      <c r="AK63" s="44">
        <v>0</v>
      </c>
      <c r="AL63" s="45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3">
        <v>0</v>
      </c>
      <c r="AS63" s="25">
        <v>0</v>
      </c>
      <c r="AT63" s="54">
        <v>0</v>
      </c>
      <c r="AU63" s="52">
        <v>0</v>
      </c>
      <c r="AV63" s="52">
        <v>0</v>
      </c>
      <c r="AW63" s="52">
        <v>0</v>
      </c>
      <c r="AX63" s="38">
        <v>0</v>
      </c>
      <c r="AY63" s="38">
        <v>0</v>
      </c>
      <c r="AZ63" s="38">
        <v>0</v>
      </c>
      <c r="BA63" s="38">
        <v>0</v>
      </c>
      <c r="BB63" s="38">
        <v>0</v>
      </c>
      <c r="BC63" s="38">
        <v>0</v>
      </c>
      <c r="BD63" s="38">
        <v>0</v>
      </c>
      <c r="BE63" s="38">
        <v>0</v>
      </c>
      <c r="BF63" s="38">
        <v>0</v>
      </c>
      <c r="BG63" s="38">
        <v>0</v>
      </c>
      <c r="BH63" s="40">
        <v>1</v>
      </c>
      <c r="BI63" s="40" t="s">
        <v>1416</v>
      </c>
      <c r="BJ63" s="40">
        <v>1</v>
      </c>
    </row>
    <row r="64" spans="1:62" x14ac:dyDescent="0.25">
      <c r="A64" s="6">
        <v>2</v>
      </c>
      <c r="B64" s="6" t="s">
        <v>1643</v>
      </c>
      <c r="C64" s="6" t="s">
        <v>2</v>
      </c>
      <c r="D64" s="6" t="s">
        <v>2</v>
      </c>
      <c r="E64" s="6" t="s">
        <v>5</v>
      </c>
      <c r="F64" s="6" t="s">
        <v>4</v>
      </c>
      <c r="G64" s="17">
        <v>43117.047581018516</v>
      </c>
      <c r="H64" s="21">
        <v>-5</v>
      </c>
      <c r="I64" s="4">
        <f t="shared" si="1"/>
        <v>43116.83924768518</v>
      </c>
      <c r="J64" s="3">
        <v>116</v>
      </c>
      <c r="K64" s="3">
        <v>15830</v>
      </c>
      <c r="L64" s="36">
        <f>J64*K64^2/2/4.184/10^12</f>
        <v>3.4737467017208409E-3</v>
      </c>
      <c r="M64" s="3">
        <v>301.25869999999998</v>
      </c>
      <c r="N64" s="3">
        <v>24.134599999999999</v>
      </c>
      <c r="O64" s="3" t="s">
        <v>1334</v>
      </c>
      <c r="P64" s="3">
        <v>42.451000000000001</v>
      </c>
      <c r="Q64" s="3">
        <v>-83.856999999999999</v>
      </c>
      <c r="R64" s="3">
        <v>19730</v>
      </c>
      <c r="S64" s="3">
        <v>19730</v>
      </c>
      <c r="T64" s="3">
        <v>6</v>
      </c>
      <c r="U64" s="3">
        <v>23.86</v>
      </c>
      <c r="V64" s="3">
        <v>19730</v>
      </c>
      <c r="W64" s="3" t="s">
        <v>79</v>
      </c>
      <c r="X64" s="3" t="s">
        <v>215</v>
      </c>
      <c r="Y64" s="3">
        <v>3697</v>
      </c>
      <c r="Z64" s="3">
        <v>60000</v>
      </c>
      <c r="AA64" s="3">
        <v>60000</v>
      </c>
      <c r="AB64" s="5">
        <v>50</v>
      </c>
      <c r="AC64" s="5">
        <v>0.1273</v>
      </c>
      <c r="AD64" s="5">
        <v>6.9500000000000006E-2</v>
      </c>
      <c r="AE64" s="5">
        <v>1E-4</v>
      </c>
      <c r="AF64" s="5">
        <v>2.0000000000000001E-4</v>
      </c>
      <c r="AG64" s="5">
        <v>10</v>
      </c>
      <c r="AH64" s="5">
        <v>0</v>
      </c>
      <c r="AI64" s="5">
        <v>0.85</v>
      </c>
      <c r="AJ64" s="44" t="s">
        <v>1320</v>
      </c>
      <c r="AK64" s="44">
        <v>0</v>
      </c>
      <c r="AM64" s="23">
        <v>0</v>
      </c>
      <c r="AN64" s="23">
        <v>26</v>
      </c>
      <c r="AO64" s="23">
        <v>0.57099999999999995</v>
      </c>
      <c r="AP64" s="23">
        <v>0</v>
      </c>
      <c r="AQ64" s="23">
        <v>0</v>
      </c>
      <c r="AR64" s="23">
        <v>0</v>
      </c>
      <c r="AS64" s="23">
        <v>0</v>
      </c>
      <c r="AT64" s="54">
        <v>0</v>
      </c>
      <c r="AU64" s="52">
        <v>0</v>
      </c>
      <c r="AV64" s="52">
        <v>0</v>
      </c>
      <c r="AW64" s="52">
        <v>0</v>
      </c>
      <c r="BH64" s="40">
        <v>4</v>
      </c>
      <c r="BI64" s="40" t="s">
        <v>1415</v>
      </c>
      <c r="BJ64" s="40">
        <v>0</v>
      </c>
    </row>
    <row r="65" spans="1:62" x14ac:dyDescent="0.25">
      <c r="A65" s="6">
        <v>168</v>
      </c>
      <c r="B65" s="6" t="s">
        <v>1793</v>
      </c>
      <c r="C65" s="6" t="s">
        <v>1567</v>
      </c>
      <c r="E65" s="6" t="s">
        <v>1586</v>
      </c>
      <c r="F65" s="6" t="s">
        <v>495</v>
      </c>
      <c r="G65" s="17">
        <v>43253.697233796294</v>
      </c>
      <c r="H65" s="21">
        <v>2</v>
      </c>
      <c r="I65" s="4">
        <f t="shared" si="1"/>
        <v>43253.78056712963</v>
      </c>
      <c r="J65" s="3">
        <v>5500</v>
      </c>
      <c r="P65" s="3">
        <v>-21.248480000000001</v>
      </c>
      <c r="Q65" s="3">
        <v>23.238659999999999</v>
      </c>
      <c r="W65" s="3" t="s">
        <v>81</v>
      </c>
      <c r="X65" s="3" t="s">
        <v>392</v>
      </c>
      <c r="AH65" s="5">
        <v>-1.5</v>
      </c>
      <c r="AI65" s="5">
        <v>1.5</v>
      </c>
      <c r="AJ65" s="44">
        <v>0</v>
      </c>
      <c r="AK65" s="44">
        <v>0</v>
      </c>
      <c r="AL65" s="45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3">
        <v>0</v>
      </c>
      <c r="AS65" s="25">
        <v>0</v>
      </c>
      <c r="AT65" s="54">
        <v>0</v>
      </c>
      <c r="AU65" s="52">
        <v>0</v>
      </c>
      <c r="AV65" s="52">
        <v>0</v>
      </c>
      <c r="AW65" s="52">
        <v>0</v>
      </c>
      <c r="AX65" s="38">
        <v>0</v>
      </c>
      <c r="AY65" s="38">
        <v>139</v>
      </c>
      <c r="AZ65" s="38">
        <v>0</v>
      </c>
      <c r="BA65" s="38">
        <v>0</v>
      </c>
      <c r="BB65" s="38">
        <v>0</v>
      </c>
      <c r="BC65" s="38">
        <v>0</v>
      </c>
      <c r="BD65" s="38">
        <v>138</v>
      </c>
      <c r="BE65" s="38">
        <v>0</v>
      </c>
      <c r="BF65" s="38">
        <v>0</v>
      </c>
      <c r="BG65" s="38">
        <v>0</v>
      </c>
      <c r="BH65" s="40">
        <v>0</v>
      </c>
      <c r="BI65" s="40" t="s">
        <v>1416</v>
      </c>
      <c r="BJ65" s="40">
        <v>0</v>
      </c>
    </row>
    <row r="66" spans="1:62" x14ac:dyDescent="0.25">
      <c r="A66" s="6">
        <v>171</v>
      </c>
      <c r="B66" s="6" t="s">
        <v>1796</v>
      </c>
      <c r="C66" s="6" t="s">
        <v>1570</v>
      </c>
      <c r="D66" s="6" t="s">
        <v>1590</v>
      </c>
      <c r="E66" s="6" t="s">
        <v>1591</v>
      </c>
      <c r="F66" s="6" t="s">
        <v>113</v>
      </c>
      <c r="G66" s="17">
        <v>43272.05300925926</v>
      </c>
      <c r="H66" s="21">
        <v>3</v>
      </c>
      <c r="I66" s="4">
        <f t="shared" si="1"/>
        <v>43272.17800925926</v>
      </c>
      <c r="J66" s="3">
        <v>94000</v>
      </c>
      <c r="P66" s="3">
        <v>52.801400000000001</v>
      </c>
      <c r="Q66" s="3">
        <v>38.171132999999998</v>
      </c>
      <c r="W66" s="3" t="s">
        <v>115</v>
      </c>
      <c r="X66" s="3" t="s">
        <v>245</v>
      </c>
      <c r="AH66" s="5">
        <v>-1.5</v>
      </c>
      <c r="AI66" s="5">
        <v>1.5</v>
      </c>
      <c r="AJ66" s="44">
        <v>0</v>
      </c>
      <c r="AK66" s="44">
        <v>0</v>
      </c>
      <c r="AL66" s="45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3">
        <v>0</v>
      </c>
      <c r="AS66" s="25">
        <v>0</v>
      </c>
      <c r="AT66" s="54">
        <v>0</v>
      </c>
      <c r="AU66" s="52">
        <v>0</v>
      </c>
      <c r="AV66" s="52">
        <v>0</v>
      </c>
      <c r="AW66" s="52">
        <v>0</v>
      </c>
      <c r="AX66" s="38">
        <v>0</v>
      </c>
      <c r="AY66" s="38">
        <v>139</v>
      </c>
      <c r="AZ66" s="38">
        <v>0</v>
      </c>
      <c r="BA66" s="38">
        <v>0</v>
      </c>
      <c r="BB66" s="38">
        <v>0</v>
      </c>
      <c r="BC66" s="38">
        <v>0</v>
      </c>
      <c r="BD66" s="38">
        <v>138</v>
      </c>
      <c r="BE66" s="38">
        <v>0</v>
      </c>
      <c r="BF66" s="38">
        <v>0</v>
      </c>
      <c r="BG66" s="38">
        <v>0</v>
      </c>
      <c r="BH66" s="40">
        <v>0</v>
      </c>
      <c r="BI66" s="40" t="s">
        <v>1416</v>
      </c>
      <c r="BJ66" s="40">
        <v>0</v>
      </c>
    </row>
    <row r="67" spans="1:62" x14ac:dyDescent="0.25">
      <c r="A67" s="6">
        <v>175</v>
      </c>
      <c r="B67" s="6" t="s">
        <v>1800</v>
      </c>
      <c r="C67" s="6" t="s">
        <v>1574</v>
      </c>
      <c r="D67" s="6" t="s">
        <v>1574</v>
      </c>
      <c r="E67" s="6" t="s">
        <v>1596</v>
      </c>
      <c r="F67" s="6" t="s">
        <v>569</v>
      </c>
      <c r="G67" s="17">
        <v>43497.761921296296</v>
      </c>
      <c r="H67" s="21">
        <v>-5</v>
      </c>
      <c r="I67" s="4">
        <f t="shared" si="1"/>
        <v>43497.553587962961</v>
      </c>
      <c r="J67" s="3">
        <v>50</v>
      </c>
      <c r="P67" s="3">
        <v>22.619499999999999</v>
      </c>
      <c r="Q67" s="3">
        <v>-83.742833000000005</v>
      </c>
      <c r="W67" s="3" t="s">
        <v>115</v>
      </c>
      <c r="X67" s="3" t="s">
        <v>245</v>
      </c>
      <c r="AB67" s="10"/>
      <c r="AC67" s="10"/>
      <c r="AD67" s="10"/>
      <c r="AE67" s="10"/>
      <c r="AF67" s="10"/>
      <c r="AG67" s="10"/>
      <c r="AH67" s="10">
        <v>-1.5</v>
      </c>
      <c r="AI67" s="10">
        <v>1.5</v>
      </c>
      <c r="AJ67" s="44">
        <v>0</v>
      </c>
      <c r="AK67" s="44">
        <v>0</v>
      </c>
      <c r="AL67" s="44">
        <v>0</v>
      </c>
      <c r="AM67" s="22">
        <v>0</v>
      </c>
      <c r="AN67" s="22">
        <v>0</v>
      </c>
      <c r="AO67" s="23">
        <v>0</v>
      </c>
      <c r="AP67" s="23">
        <v>0</v>
      </c>
      <c r="AQ67" s="23">
        <v>0</v>
      </c>
      <c r="AR67" s="23">
        <v>0</v>
      </c>
      <c r="AS67" s="25">
        <v>0</v>
      </c>
      <c r="AT67" s="54">
        <v>0</v>
      </c>
      <c r="AU67" s="52">
        <v>0</v>
      </c>
      <c r="AV67" s="52">
        <v>0</v>
      </c>
      <c r="AW67" s="52">
        <v>0</v>
      </c>
      <c r="AX67" s="38">
        <v>0</v>
      </c>
      <c r="AY67" s="38">
        <v>139</v>
      </c>
      <c r="AZ67" s="38">
        <v>0</v>
      </c>
      <c r="BA67" s="38">
        <v>0</v>
      </c>
      <c r="BB67" s="38">
        <v>0</v>
      </c>
      <c r="BC67" s="38">
        <v>0</v>
      </c>
      <c r="BD67" s="38">
        <v>138</v>
      </c>
      <c r="BE67" s="38">
        <v>0</v>
      </c>
      <c r="BF67" s="38">
        <v>0</v>
      </c>
      <c r="BG67" s="38">
        <v>0</v>
      </c>
      <c r="BH67" s="40">
        <v>0</v>
      </c>
      <c r="BI67" s="40" t="s">
        <v>1416</v>
      </c>
      <c r="BJ67" s="40">
        <v>0</v>
      </c>
    </row>
    <row r="68" spans="1:62" x14ac:dyDescent="0.25">
      <c r="A68" s="6">
        <v>63</v>
      </c>
      <c r="B68" s="6" t="s">
        <v>1699</v>
      </c>
      <c r="C68" s="6" t="s">
        <v>397</v>
      </c>
      <c r="D68" s="6" t="s">
        <v>397</v>
      </c>
      <c r="E68" s="6" t="s">
        <v>398</v>
      </c>
      <c r="F68" s="6" t="s">
        <v>399</v>
      </c>
      <c r="G68" s="17">
        <v>43579.129861111112</v>
      </c>
      <c r="H68" s="21">
        <v>-6</v>
      </c>
      <c r="I68" s="4">
        <f t="shared" si="1"/>
        <v>43578.879861111112</v>
      </c>
      <c r="J68" s="3">
        <v>500</v>
      </c>
      <c r="K68" s="3">
        <v>14000</v>
      </c>
      <c r="L68" s="36">
        <f>J68*K68^2/2/4.184/10^12</f>
        <v>1.1711281070745696E-2</v>
      </c>
      <c r="M68" s="3">
        <v>117</v>
      </c>
      <c r="N68" s="3">
        <v>17</v>
      </c>
      <c r="O68" s="3" t="s">
        <v>1334</v>
      </c>
      <c r="P68" s="3">
        <v>10.414586</v>
      </c>
      <c r="Q68" s="3">
        <v>-84.390457999999995</v>
      </c>
      <c r="R68" s="3">
        <v>15000</v>
      </c>
      <c r="S68" s="3">
        <f>R68</f>
        <v>15000</v>
      </c>
      <c r="T68" s="3">
        <f>K68</f>
        <v>14000</v>
      </c>
      <c r="U68" s="3">
        <f>N68</f>
        <v>17</v>
      </c>
      <c r="V68" s="3">
        <f>R68</f>
        <v>15000</v>
      </c>
      <c r="W68" s="3" t="s">
        <v>111</v>
      </c>
      <c r="X68" s="3" t="s">
        <v>216</v>
      </c>
      <c r="Y68" s="3">
        <v>2400</v>
      </c>
      <c r="Z68" s="3">
        <v>60000</v>
      </c>
      <c r="AA68" s="3">
        <v>60000</v>
      </c>
      <c r="AB68" s="5">
        <v>1000</v>
      </c>
      <c r="AC68" s="5">
        <v>5</v>
      </c>
      <c r="AD68" s="5">
        <v>3</v>
      </c>
      <c r="AE68" s="5">
        <v>0</v>
      </c>
      <c r="AF68" s="5">
        <v>0</v>
      </c>
      <c r="AG68" s="5">
        <v>2000</v>
      </c>
      <c r="AH68" s="5">
        <v>-1.5</v>
      </c>
      <c r="AI68" s="5">
        <v>1.5</v>
      </c>
      <c r="AJ68" s="44" t="s">
        <v>1320</v>
      </c>
      <c r="AK68" s="44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3">
        <v>0</v>
      </c>
      <c r="AS68" s="25">
        <v>0</v>
      </c>
      <c r="AT68" s="54">
        <v>0</v>
      </c>
      <c r="AU68" s="52">
        <v>0</v>
      </c>
      <c r="AV68" s="52">
        <v>0</v>
      </c>
      <c r="AW68" s="52">
        <v>0</v>
      </c>
      <c r="AY68" s="38">
        <v>129</v>
      </c>
      <c r="AZ68" s="38">
        <v>129</v>
      </c>
      <c r="BA68" s="38">
        <v>134</v>
      </c>
      <c r="BD68" s="38">
        <v>129</v>
      </c>
      <c r="BH68" s="40">
        <v>3</v>
      </c>
      <c r="BI68" s="40" t="s">
        <v>1422</v>
      </c>
      <c r="BJ68" s="40">
        <v>0</v>
      </c>
    </row>
    <row r="69" spans="1:62" x14ac:dyDescent="0.25">
      <c r="A69" s="6">
        <v>3</v>
      </c>
      <c r="B69" s="6" t="s">
        <v>1644</v>
      </c>
      <c r="C69" s="6" t="s">
        <v>57</v>
      </c>
      <c r="D69" s="6" t="s">
        <v>57</v>
      </c>
      <c r="E69" s="6" t="s">
        <v>56</v>
      </c>
      <c r="F69" s="6" t="s">
        <v>4</v>
      </c>
      <c r="G69" s="17">
        <v>43596.196527777778</v>
      </c>
      <c r="H69" s="21">
        <v>-4</v>
      </c>
      <c r="I69" s="4">
        <f t="shared" si="1"/>
        <v>43596.029861111114</v>
      </c>
      <c r="J69" s="3">
        <v>20</v>
      </c>
      <c r="K69" s="3">
        <v>21500</v>
      </c>
      <c r="L69" s="36">
        <f>J69*K69^2/2/4.184/10^12</f>
        <v>1.1048040152963671E-3</v>
      </c>
      <c r="M69" s="3">
        <v>165.6</v>
      </c>
      <c r="N69" s="3">
        <v>70</v>
      </c>
      <c r="O69" s="3" t="s">
        <v>1334</v>
      </c>
      <c r="P69" s="3">
        <v>41.573880000000003</v>
      </c>
      <c r="Q69" s="3">
        <v>-86.422524999999993</v>
      </c>
      <c r="R69" s="3">
        <v>28580</v>
      </c>
      <c r="S69" s="3">
        <v>29580</v>
      </c>
      <c r="T69" s="3">
        <v>21500</v>
      </c>
      <c r="U69" s="3">
        <v>70</v>
      </c>
      <c r="V69" s="3">
        <v>28000</v>
      </c>
      <c r="W69" s="3" t="s">
        <v>81</v>
      </c>
      <c r="X69" s="3" t="s">
        <v>382</v>
      </c>
      <c r="Y69" s="3">
        <v>0</v>
      </c>
      <c r="Z69" s="3">
        <v>85000</v>
      </c>
      <c r="AA69" s="3">
        <v>85000</v>
      </c>
      <c r="AB69" s="5">
        <v>0</v>
      </c>
      <c r="AC69" s="5">
        <v>0</v>
      </c>
      <c r="AD69" s="5">
        <v>0</v>
      </c>
      <c r="AE69" s="5">
        <v>0</v>
      </c>
      <c r="AF69" s="5">
        <v>0</v>
      </c>
      <c r="AG69" s="5">
        <v>0</v>
      </c>
      <c r="AH69" s="5">
        <v>-1.5</v>
      </c>
      <c r="AI69" s="5">
        <v>1.5</v>
      </c>
      <c r="AJ69" s="44" t="s">
        <v>1320</v>
      </c>
      <c r="AK69" s="44">
        <v>0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3">
        <v>0</v>
      </c>
      <c r="AS69" s="23">
        <v>0</v>
      </c>
      <c r="AT69" s="54">
        <v>0</v>
      </c>
      <c r="AU69" s="52">
        <v>0</v>
      </c>
      <c r="AV69" s="52">
        <v>0</v>
      </c>
      <c r="AW69" s="52">
        <v>0</v>
      </c>
      <c r="BH69" s="40">
        <v>3</v>
      </c>
      <c r="BI69" s="40" t="s">
        <v>1416</v>
      </c>
      <c r="BJ69" s="40">
        <v>0</v>
      </c>
    </row>
    <row r="70" spans="1:62" x14ac:dyDescent="0.25">
      <c r="A70" s="6">
        <v>12</v>
      </c>
      <c r="B70" s="6" t="s">
        <v>1653</v>
      </c>
      <c r="C70" s="6" t="s">
        <v>98</v>
      </c>
      <c r="D70" s="6" t="s">
        <v>98</v>
      </c>
      <c r="E70" s="6" t="s">
        <v>99</v>
      </c>
      <c r="F70" s="6" t="s">
        <v>100</v>
      </c>
      <c r="G70" s="17">
        <v>43604.616006944445</v>
      </c>
      <c r="H70" s="21">
        <v>9.5</v>
      </c>
      <c r="I70" s="4">
        <f t="shared" si="1"/>
        <v>43605.011840277781</v>
      </c>
      <c r="J70" s="3">
        <v>3984</v>
      </c>
      <c r="K70" s="3">
        <v>15200</v>
      </c>
      <c r="L70" s="36">
        <f>J70*K70^2/2/4.184/10^12</f>
        <v>0.10999801147227532</v>
      </c>
      <c r="M70" s="3">
        <v>103.65805840961033</v>
      </c>
      <c r="N70" s="3">
        <v>11.474170043358667</v>
      </c>
      <c r="O70" s="3" t="s">
        <v>1270</v>
      </c>
      <c r="P70" s="3">
        <v>-23.6</v>
      </c>
      <c r="Q70" s="3">
        <v>132.80000000000001</v>
      </c>
      <c r="R70" s="3">
        <v>33300</v>
      </c>
      <c r="S70" s="3">
        <v>33300</v>
      </c>
      <c r="T70" s="3">
        <v>15200</v>
      </c>
      <c r="U70" s="3">
        <v>11.474170043358667</v>
      </c>
      <c r="V70" s="3">
        <v>20000</v>
      </c>
      <c r="W70" s="3" t="s">
        <v>81</v>
      </c>
      <c r="X70" s="3" t="s">
        <v>382</v>
      </c>
      <c r="Y70" s="3">
        <v>0</v>
      </c>
      <c r="Z70" s="3">
        <v>85000</v>
      </c>
      <c r="AA70" s="3">
        <v>85000</v>
      </c>
      <c r="AB70" s="5">
        <v>500</v>
      </c>
      <c r="AC70" s="5">
        <v>3</v>
      </c>
      <c r="AD70" s="5">
        <v>3</v>
      </c>
      <c r="AE70" s="5">
        <v>0.05</v>
      </c>
      <c r="AF70" s="5">
        <v>0.05</v>
      </c>
      <c r="AG70" s="5">
        <v>500</v>
      </c>
      <c r="AH70" s="5">
        <v>-1.5</v>
      </c>
      <c r="AI70" s="5">
        <v>1.5</v>
      </c>
      <c r="AJ70" s="44" t="s">
        <v>1320</v>
      </c>
      <c r="AK70" s="44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0</v>
      </c>
      <c r="AR70" s="23">
        <v>0</v>
      </c>
      <c r="AS70" s="23">
        <v>0</v>
      </c>
      <c r="AT70" s="54">
        <v>0</v>
      </c>
      <c r="AU70" s="52">
        <v>0</v>
      </c>
      <c r="AV70" s="52">
        <v>0</v>
      </c>
      <c r="AW70" s="52">
        <v>0</v>
      </c>
      <c r="BH70" s="40">
        <v>3</v>
      </c>
      <c r="BI70" s="40" t="s">
        <v>1416</v>
      </c>
      <c r="BJ70" s="40">
        <v>0</v>
      </c>
    </row>
    <row r="71" spans="1:62" x14ac:dyDescent="0.25">
      <c r="A71" s="6">
        <v>6</v>
      </c>
      <c r="B71" s="6" t="s">
        <v>1647</v>
      </c>
      <c r="C71" s="6" t="s">
        <v>59</v>
      </c>
      <c r="D71" s="6" t="s">
        <v>59</v>
      </c>
      <c r="E71" s="6" t="s">
        <v>55</v>
      </c>
      <c r="F71" s="6" t="s">
        <v>4</v>
      </c>
      <c r="G71" s="17">
        <v>43606.107303240744</v>
      </c>
      <c r="H71" s="21">
        <v>-4</v>
      </c>
      <c r="I71" s="4">
        <f t="shared" si="1"/>
        <v>43605.94063657408</v>
      </c>
      <c r="J71" s="3">
        <v>10</v>
      </c>
      <c r="K71" s="3">
        <v>13600</v>
      </c>
      <c r="L71" s="36">
        <f>J71*K71^2/2/4.184/10^12</f>
        <v>2.210325047801147E-4</v>
      </c>
      <c r="M71" s="3">
        <v>49.09</v>
      </c>
      <c r="N71" s="3">
        <v>28.71</v>
      </c>
      <c r="O71" s="3" t="s">
        <v>104</v>
      </c>
      <c r="P71" s="3">
        <v>36.847999999999999</v>
      </c>
      <c r="Q71" s="3">
        <v>-82.141999999999996</v>
      </c>
      <c r="R71" s="3">
        <v>31100</v>
      </c>
      <c r="S71" s="3">
        <v>31100</v>
      </c>
      <c r="T71" s="3">
        <v>13600</v>
      </c>
      <c r="U71" s="3">
        <v>28.71</v>
      </c>
      <c r="V71" s="3">
        <v>30100</v>
      </c>
      <c r="W71" s="3" t="s">
        <v>144</v>
      </c>
      <c r="X71" s="3" t="s">
        <v>382</v>
      </c>
      <c r="Y71" s="3">
        <v>0</v>
      </c>
      <c r="Z71" s="3">
        <v>60000</v>
      </c>
      <c r="AA71" s="3">
        <v>60000</v>
      </c>
      <c r="AB71" s="5">
        <v>900</v>
      </c>
      <c r="AC71" s="5">
        <v>18.2</v>
      </c>
      <c r="AD71" s="5">
        <v>7.7</v>
      </c>
      <c r="AE71" s="5">
        <v>0.02</v>
      </c>
      <c r="AF71" s="5">
        <v>0.02</v>
      </c>
      <c r="AG71" s="5">
        <v>1000</v>
      </c>
      <c r="AH71" s="5">
        <v>-1.5</v>
      </c>
      <c r="AI71" s="5">
        <v>1.5</v>
      </c>
      <c r="AJ71" s="44" t="s">
        <v>1320</v>
      </c>
      <c r="AK71" s="44">
        <v>0</v>
      </c>
      <c r="AM71" s="23">
        <v>0</v>
      </c>
      <c r="AN71" s="23">
        <v>0</v>
      </c>
      <c r="AO71" s="23">
        <v>0</v>
      </c>
      <c r="AP71" s="23">
        <v>0</v>
      </c>
      <c r="AQ71" s="23">
        <v>0</v>
      </c>
      <c r="AR71" s="23">
        <v>0</v>
      </c>
      <c r="AS71" s="23">
        <v>0</v>
      </c>
      <c r="AT71" s="54">
        <v>0</v>
      </c>
      <c r="AU71" s="52">
        <v>0</v>
      </c>
      <c r="AV71" s="52">
        <v>0</v>
      </c>
      <c r="AW71" s="52">
        <v>0</v>
      </c>
      <c r="BH71" s="40">
        <v>3</v>
      </c>
      <c r="BI71" s="40" t="s">
        <v>1416</v>
      </c>
      <c r="BJ71" s="40">
        <v>0</v>
      </c>
    </row>
    <row r="72" spans="1:62" x14ac:dyDescent="0.25">
      <c r="A72" s="6">
        <v>161</v>
      </c>
      <c r="B72" s="6" t="s">
        <v>1786</v>
      </c>
      <c r="C72" s="6" t="s">
        <v>1560</v>
      </c>
      <c r="E72" s="6" t="s">
        <v>1393</v>
      </c>
      <c r="F72" s="6" t="s">
        <v>100</v>
      </c>
      <c r="G72" s="17">
        <v>43617.872916666667</v>
      </c>
      <c r="H72" s="21">
        <v>10.5</v>
      </c>
      <c r="I72" s="4">
        <f t="shared" si="1"/>
        <v>43618.310416666667</v>
      </c>
      <c r="P72" s="3">
        <v>-30.623611</v>
      </c>
      <c r="Q72" s="3">
        <v>129.63138900000001</v>
      </c>
      <c r="V72" s="3">
        <v>28800</v>
      </c>
      <c r="W72" s="3" t="s">
        <v>79</v>
      </c>
      <c r="X72" s="3" t="s">
        <v>239</v>
      </c>
      <c r="AH72" s="5">
        <v>-1.5</v>
      </c>
      <c r="AI72" s="5">
        <v>1.5</v>
      </c>
      <c r="AJ72" s="44">
        <v>0</v>
      </c>
      <c r="AK72" s="44">
        <v>0</v>
      </c>
      <c r="AL72" s="45">
        <v>0</v>
      </c>
      <c r="AM72" s="23">
        <v>0</v>
      </c>
      <c r="AN72" s="23">
        <v>0</v>
      </c>
      <c r="AO72" s="23">
        <v>0</v>
      </c>
      <c r="AP72" s="23">
        <v>0</v>
      </c>
      <c r="AQ72" s="23">
        <v>0</v>
      </c>
      <c r="AR72" s="23">
        <v>0</v>
      </c>
      <c r="AS72" s="25">
        <v>0</v>
      </c>
      <c r="AT72" s="54">
        <v>0</v>
      </c>
      <c r="AU72" s="52">
        <v>0</v>
      </c>
      <c r="AV72" s="52">
        <v>0</v>
      </c>
      <c r="AW72" s="52">
        <v>0</v>
      </c>
      <c r="AX72" s="38">
        <v>0</v>
      </c>
      <c r="AY72" s="38">
        <v>139</v>
      </c>
      <c r="AZ72" s="38">
        <v>0</v>
      </c>
      <c r="BA72" s="38">
        <v>0</v>
      </c>
      <c r="BB72" s="38">
        <v>0</v>
      </c>
      <c r="BC72" s="38">
        <v>0</v>
      </c>
      <c r="BD72" s="38">
        <v>138</v>
      </c>
      <c r="BE72" s="38">
        <v>0</v>
      </c>
      <c r="BF72" s="38">
        <v>0</v>
      </c>
      <c r="BG72" s="38">
        <v>0</v>
      </c>
      <c r="BH72" s="40">
        <v>0</v>
      </c>
      <c r="BI72" s="40" t="s">
        <v>1416</v>
      </c>
      <c r="BJ72" s="40">
        <v>0</v>
      </c>
    </row>
    <row r="73" spans="1:62" x14ac:dyDescent="0.25">
      <c r="A73" s="6">
        <v>10</v>
      </c>
      <c r="B73" s="6" t="s">
        <v>1651</v>
      </c>
      <c r="C73" s="6" t="s">
        <v>90</v>
      </c>
      <c r="D73" s="6" t="s">
        <v>90</v>
      </c>
      <c r="E73" s="6" t="s">
        <v>70</v>
      </c>
      <c r="F73" s="6" t="s">
        <v>71</v>
      </c>
      <c r="G73" s="17">
        <v>43623.061111111114</v>
      </c>
      <c r="H73" s="21">
        <v>-3</v>
      </c>
      <c r="I73" s="4">
        <f t="shared" si="1"/>
        <v>43622.936111111114</v>
      </c>
      <c r="J73" s="3">
        <v>3249</v>
      </c>
      <c r="K73" s="3">
        <v>14800</v>
      </c>
      <c r="L73" s="36">
        <f t="shared" ref="L73:L84" si="2">J73*K73^2/2/4.184/10^12</f>
        <v>8.504552581261951E-2</v>
      </c>
      <c r="M73" s="3">
        <v>149.93</v>
      </c>
      <c r="N73" s="3">
        <v>79.048165062751124</v>
      </c>
      <c r="O73" s="3" t="s">
        <v>72</v>
      </c>
      <c r="P73" s="3">
        <v>-29.29626</v>
      </c>
      <c r="Q73" s="3">
        <v>-54.297049999999999</v>
      </c>
      <c r="R73" s="3">
        <v>27170</v>
      </c>
      <c r="S73" s="3">
        <v>30100</v>
      </c>
      <c r="T73" s="3">
        <v>14800</v>
      </c>
      <c r="U73" s="3">
        <v>79.048165062751124</v>
      </c>
      <c r="V73" s="3">
        <v>26500</v>
      </c>
      <c r="W73" s="3" t="s">
        <v>81</v>
      </c>
      <c r="X73" s="3" t="s">
        <v>382</v>
      </c>
      <c r="Y73" s="3">
        <v>0</v>
      </c>
      <c r="Z73" s="3">
        <v>104690</v>
      </c>
      <c r="AA73" s="3">
        <v>85000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  <c r="AH73" s="5">
        <v>-1.5</v>
      </c>
      <c r="AI73" s="5">
        <v>1.5</v>
      </c>
      <c r="AJ73" s="44" t="s">
        <v>1320</v>
      </c>
      <c r="AK73" s="44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54">
        <v>0</v>
      </c>
      <c r="AU73" s="52">
        <v>0</v>
      </c>
      <c r="AV73" s="52">
        <v>0</v>
      </c>
      <c r="AW73" s="52">
        <v>0</v>
      </c>
      <c r="BH73" s="40">
        <v>3</v>
      </c>
      <c r="BI73" s="40" t="s">
        <v>1416</v>
      </c>
      <c r="BJ73" s="40">
        <v>0</v>
      </c>
    </row>
    <row r="74" spans="1:62" x14ac:dyDescent="0.25">
      <c r="A74" s="6">
        <v>13</v>
      </c>
      <c r="B74" s="6" t="s">
        <v>1654</v>
      </c>
      <c r="C74" s="6" t="s">
        <v>102</v>
      </c>
      <c r="D74" s="6" t="s">
        <v>102</v>
      </c>
      <c r="E74" s="6" t="s">
        <v>101</v>
      </c>
      <c r="F74" s="6" t="s">
        <v>103</v>
      </c>
      <c r="G74" s="17">
        <v>43670.280324074076</v>
      </c>
      <c r="H74" s="21">
        <v>-4</v>
      </c>
      <c r="I74" s="4">
        <f t="shared" si="1"/>
        <v>43670.113657407412</v>
      </c>
      <c r="J74" s="3">
        <v>50</v>
      </c>
      <c r="K74" s="3">
        <v>20200</v>
      </c>
      <c r="L74" s="36">
        <f t="shared" si="2"/>
        <v>2.4380975143403439E-3</v>
      </c>
      <c r="M74" s="3">
        <v>18.690000000000001</v>
      </c>
      <c r="N74" s="3">
        <v>63.103499999999997</v>
      </c>
      <c r="O74" s="3" t="s">
        <v>104</v>
      </c>
      <c r="P74" s="3">
        <v>44.828000000000003</v>
      </c>
      <c r="Q74" s="3">
        <v>-78.153000000000006</v>
      </c>
      <c r="R74" s="3">
        <v>28900</v>
      </c>
      <c r="S74" s="3">
        <v>29000</v>
      </c>
      <c r="T74" s="3">
        <v>20200</v>
      </c>
      <c r="U74" s="3">
        <v>63.103499999999997</v>
      </c>
      <c r="V74" s="3">
        <v>25000</v>
      </c>
      <c r="W74" s="3" t="s">
        <v>81</v>
      </c>
      <c r="X74" s="3" t="s">
        <v>382</v>
      </c>
      <c r="Y74" s="3">
        <v>0</v>
      </c>
      <c r="Z74" s="3">
        <v>85000</v>
      </c>
      <c r="AA74" s="3">
        <v>85000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-1.5</v>
      </c>
      <c r="AI74" s="5">
        <v>1.5</v>
      </c>
      <c r="AJ74" s="44" t="s">
        <v>1320</v>
      </c>
      <c r="AK74" s="44">
        <v>0</v>
      </c>
      <c r="AM74" s="23">
        <v>0</v>
      </c>
      <c r="AN74" s="23">
        <v>0</v>
      </c>
      <c r="AO74" s="23">
        <v>0</v>
      </c>
      <c r="AP74" s="23">
        <v>0</v>
      </c>
      <c r="AQ74" s="23">
        <v>0</v>
      </c>
      <c r="AR74" s="23">
        <v>0</v>
      </c>
      <c r="AS74" s="23">
        <v>0</v>
      </c>
      <c r="AT74" s="54">
        <v>0</v>
      </c>
      <c r="AU74" s="52">
        <v>0</v>
      </c>
      <c r="AV74" s="52">
        <v>0</v>
      </c>
      <c r="AW74" s="52">
        <v>0</v>
      </c>
      <c r="BH74" s="40">
        <v>2</v>
      </c>
      <c r="BI74" s="40" t="s">
        <v>1416</v>
      </c>
      <c r="BJ74" s="40">
        <v>0</v>
      </c>
    </row>
    <row r="75" spans="1:62" x14ac:dyDescent="0.25">
      <c r="A75" s="6">
        <v>16</v>
      </c>
      <c r="B75" s="6" t="s">
        <v>1657</v>
      </c>
      <c r="C75" s="6" t="s">
        <v>116</v>
      </c>
      <c r="D75" s="6" t="s">
        <v>116</v>
      </c>
      <c r="E75" s="6" t="s">
        <v>117</v>
      </c>
      <c r="F75" s="6" t="s">
        <v>4</v>
      </c>
      <c r="G75" s="17">
        <v>43671.127083333333</v>
      </c>
      <c r="H75" s="21">
        <v>-4</v>
      </c>
      <c r="I75" s="4">
        <f t="shared" si="1"/>
        <v>43670.960416666669</v>
      </c>
      <c r="J75" s="3">
        <v>10</v>
      </c>
      <c r="K75" s="3">
        <v>30400</v>
      </c>
      <c r="L75" s="36">
        <f t="shared" si="2"/>
        <v>1.104397705544933E-3</v>
      </c>
      <c r="M75" s="3">
        <v>298.16000000000003</v>
      </c>
      <c r="N75" s="3">
        <v>70.900000000000006</v>
      </c>
      <c r="O75" s="3" t="s">
        <v>1334</v>
      </c>
      <c r="P75" s="3">
        <v>41.158000000000001</v>
      </c>
      <c r="Q75" s="3">
        <v>-72.394000000000005</v>
      </c>
      <c r="R75" s="3">
        <v>26370</v>
      </c>
      <c r="S75" s="3">
        <v>26370</v>
      </c>
      <c r="T75" s="3">
        <v>30400</v>
      </c>
      <c r="U75" s="3">
        <v>70.900000000000006</v>
      </c>
      <c r="V75" s="3">
        <v>26300</v>
      </c>
      <c r="W75" s="3" t="s">
        <v>81</v>
      </c>
      <c r="X75" s="3" t="s">
        <v>382</v>
      </c>
      <c r="Y75" s="3">
        <v>0</v>
      </c>
      <c r="Z75" s="3">
        <v>85000</v>
      </c>
      <c r="AA75" s="3">
        <v>85000</v>
      </c>
      <c r="AB75" s="5">
        <v>3000</v>
      </c>
      <c r="AC75" s="5">
        <v>2</v>
      </c>
      <c r="AD75" s="5">
        <v>0.3</v>
      </c>
      <c r="AE75" s="5">
        <v>0</v>
      </c>
      <c r="AF75" s="5">
        <v>0</v>
      </c>
      <c r="AG75" s="5">
        <v>1000</v>
      </c>
      <c r="AH75" s="5">
        <v>-1.5</v>
      </c>
      <c r="AI75" s="5">
        <v>1.5</v>
      </c>
      <c r="AJ75" s="44" t="s">
        <v>1320</v>
      </c>
      <c r="AK75" s="44">
        <v>0</v>
      </c>
      <c r="AM75" s="23">
        <v>0</v>
      </c>
      <c r="AN75" s="23">
        <v>0</v>
      </c>
      <c r="AO75" s="23">
        <v>0</v>
      </c>
      <c r="AP75" s="23">
        <v>0</v>
      </c>
      <c r="AQ75" s="23">
        <v>0</v>
      </c>
      <c r="AR75" s="23">
        <v>0</v>
      </c>
      <c r="AS75" s="25">
        <v>0</v>
      </c>
      <c r="AT75" s="54">
        <v>0</v>
      </c>
      <c r="AU75" s="52">
        <v>0</v>
      </c>
      <c r="AV75" s="52">
        <v>0</v>
      </c>
      <c r="AW75" s="52">
        <v>0</v>
      </c>
      <c r="BH75" s="40">
        <v>3</v>
      </c>
      <c r="BI75" s="40" t="s">
        <v>1416</v>
      </c>
      <c r="BJ75" s="40">
        <v>0</v>
      </c>
    </row>
    <row r="76" spans="1:62" x14ac:dyDescent="0.25">
      <c r="A76" s="6">
        <v>17</v>
      </c>
      <c r="B76" s="6" t="s">
        <v>1658</v>
      </c>
      <c r="C76" s="6" t="s">
        <v>118</v>
      </c>
      <c r="D76" s="6" t="s">
        <v>118</v>
      </c>
      <c r="E76" s="6" t="s">
        <v>119</v>
      </c>
      <c r="F76" s="6" t="s">
        <v>103</v>
      </c>
      <c r="G76" s="17">
        <v>43709.183217592596</v>
      </c>
      <c r="H76" s="21">
        <v>-6</v>
      </c>
      <c r="I76" s="4">
        <f t="shared" si="1"/>
        <v>43708.933217592596</v>
      </c>
      <c r="J76" s="3">
        <v>50</v>
      </c>
      <c r="K76" s="3">
        <v>7827</v>
      </c>
      <c r="L76" s="36">
        <f t="shared" si="2"/>
        <v>3.6604881094646271E-4</v>
      </c>
      <c r="M76" s="3">
        <v>203.7</v>
      </c>
      <c r="N76" s="3">
        <v>48.67</v>
      </c>
      <c r="O76" s="3" t="s">
        <v>1334</v>
      </c>
      <c r="P76" s="3">
        <v>53.283647999999999</v>
      </c>
      <c r="Q76" s="3">
        <v>-113.083778</v>
      </c>
      <c r="R76" s="3">
        <v>33500</v>
      </c>
      <c r="S76" s="3">
        <v>33500</v>
      </c>
      <c r="T76" s="3">
        <v>7827</v>
      </c>
      <c r="U76" s="3">
        <v>48.67</v>
      </c>
      <c r="V76" s="3">
        <v>29000</v>
      </c>
      <c r="W76" s="3" t="s">
        <v>81</v>
      </c>
      <c r="X76" s="3" t="s">
        <v>382</v>
      </c>
      <c r="Y76" s="3">
        <v>0</v>
      </c>
      <c r="Z76" s="3">
        <v>85000</v>
      </c>
      <c r="AA76" s="3">
        <v>85000</v>
      </c>
      <c r="AB76" s="5">
        <v>400</v>
      </c>
      <c r="AC76" s="5">
        <v>0.4</v>
      </c>
      <c r="AD76" s="5">
        <v>0.5</v>
      </c>
      <c r="AE76" s="5">
        <v>0</v>
      </c>
      <c r="AF76" s="5">
        <v>0</v>
      </c>
      <c r="AG76" s="5">
        <v>1000</v>
      </c>
      <c r="AH76" s="5">
        <v>-1.5</v>
      </c>
      <c r="AI76" s="5">
        <v>1.5</v>
      </c>
      <c r="AJ76" s="44" t="s">
        <v>1320</v>
      </c>
      <c r="AK76" s="44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5">
        <v>0</v>
      </c>
      <c r="AT76" s="54">
        <v>0</v>
      </c>
      <c r="AU76" s="52">
        <v>0</v>
      </c>
      <c r="AV76" s="52">
        <v>0</v>
      </c>
      <c r="AW76" s="52">
        <v>0</v>
      </c>
      <c r="BH76" s="40">
        <v>2</v>
      </c>
      <c r="BI76" s="40" t="s">
        <v>1416</v>
      </c>
      <c r="BJ76" s="40">
        <v>0</v>
      </c>
    </row>
    <row r="77" spans="1:62" x14ac:dyDescent="0.25">
      <c r="A77" s="6">
        <v>20</v>
      </c>
      <c r="B77" s="6" t="s">
        <v>1660</v>
      </c>
      <c r="C77" s="6" t="s">
        <v>145</v>
      </c>
      <c r="D77" s="6" t="s">
        <v>142</v>
      </c>
      <c r="E77" s="6" t="s">
        <v>143</v>
      </c>
      <c r="F77" s="6" t="s">
        <v>142</v>
      </c>
      <c r="G77" s="17">
        <v>43720.534583333334</v>
      </c>
      <c r="H77" s="21">
        <v>2</v>
      </c>
      <c r="I77" s="4">
        <f t="shared" si="1"/>
        <v>43720.61791666667</v>
      </c>
      <c r="J77" s="3">
        <v>10043.608621288173</v>
      </c>
      <c r="K77" s="3">
        <v>19998</v>
      </c>
      <c r="L77" s="3">
        <f t="shared" si="2"/>
        <v>0.48000000000000004</v>
      </c>
      <c r="M77" s="3">
        <v>8.3000000000000007</v>
      </c>
      <c r="N77" s="3">
        <v>65.459000000000003</v>
      </c>
      <c r="O77" s="3" t="s">
        <v>1270</v>
      </c>
      <c r="P77" s="3">
        <v>54.510938000000003</v>
      </c>
      <c r="Q77" s="3">
        <v>9.179646</v>
      </c>
      <c r="R77" s="3">
        <v>42000</v>
      </c>
      <c r="S77" s="3">
        <v>42000</v>
      </c>
      <c r="T77" s="3">
        <v>19998</v>
      </c>
      <c r="U77" s="3">
        <v>65.459000000000003</v>
      </c>
      <c r="V77" s="3">
        <v>20000</v>
      </c>
      <c r="W77" s="3" t="s">
        <v>111</v>
      </c>
      <c r="X77" s="3" t="s">
        <v>382</v>
      </c>
      <c r="Y77" s="3">
        <v>1984</v>
      </c>
      <c r="Z77" s="3">
        <v>85000</v>
      </c>
      <c r="AA77" s="3">
        <v>85000</v>
      </c>
      <c r="AB77" s="5">
        <v>1600</v>
      </c>
      <c r="AC77" s="5">
        <v>0.5</v>
      </c>
      <c r="AD77" s="5">
        <v>0.15</v>
      </c>
      <c r="AE77" s="5">
        <v>0</v>
      </c>
      <c r="AF77" s="5">
        <v>0</v>
      </c>
      <c r="AG77" s="5">
        <v>50</v>
      </c>
      <c r="AH77" s="5">
        <v>-1.5</v>
      </c>
      <c r="AI77" s="5">
        <v>1.5</v>
      </c>
      <c r="AJ77" s="44" t="s">
        <v>1320</v>
      </c>
      <c r="AK77" s="44">
        <v>0</v>
      </c>
      <c r="AM77" s="23">
        <v>0</v>
      </c>
      <c r="AN77" s="23">
        <v>0</v>
      </c>
      <c r="AO77" s="23">
        <v>0</v>
      </c>
      <c r="AP77" s="23">
        <v>0</v>
      </c>
      <c r="AQ77" s="23">
        <v>0</v>
      </c>
      <c r="AR77" s="23">
        <v>0</v>
      </c>
      <c r="AS77" s="25">
        <v>0</v>
      </c>
      <c r="AT77" s="54">
        <v>0</v>
      </c>
      <c r="AU77" s="52">
        <v>0</v>
      </c>
      <c r="AV77" s="52">
        <v>0</v>
      </c>
      <c r="AW77" s="52">
        <v>0</v>
      </c>
      <c r="BH77" s="40">
        <v>3</v>
      </c>
      <c r="BI77" s="40" t="s">
        <v>1416</v>
      </c>
      <c r="BJ77" s="40">
        <v>0</v>
      </c>
    </row>
    <row r="78" spans="1:62" x14ac:dyDescent="0.25">
      <c r="A78" s="6">
        <v>22</v>
      </c>
      <c r="B78" s="6" t="s">
        <v>1661</v>
      </c>
      <c r="C78" s="6" t="s">
        <v>1814</v>
      </c>
      <c r="D78" s="6" t="s">
        <v>149</v>
      </c>
      <c r="E78" s="6" t="s">
        <v>147</v>
      </c>
      <c r="F78" s="6" t="s">
        <v>142</v>
      </c>
      <c r="G78" s="17">
        <v>43735.729155092595</v>
      </c>
      <c r="H78" s="21">
        <v>2</v>
      </c>
      <c r="I78" s="4">
        <f t="shared" si="1"/>
        <v>43735.81248842593</v>
      </c>
      <c r="J78" s="3">
        <v>50</v>
      </c>
      <c r="K78" s="3">
        <v>17965</v>
      </c>
      <c r="L78" s="3">
        <f t="shared" si="2"/>
        <v>1.928425101577438E-3</v>
      </c>
      <c r="M78" s="3">
        <v>278.18</v>
      </c>
      <c r="N78" s="3">
        <v>80.569999999999993</v>
      </c>
      <c r="O78" s="3" t="s">
        <v>1334</v>
      </c>
      <c r="P78" s="3">
        <v>53.825000000000003</v>
      </c>
      <c r="Q78" s="3">
        <v>13.124000000000001</v>
      </c>
      <c r="R78" s="3">
        <v>25080</v>
      </c>
      <c r="S78" s="3">
        <v>25100</v>
      </c>
      <c r="T78" s="3">
        <v>17965</v>
      </c>
      <c r="U78" s="3">
        <v>80.569999999999993</v>
      </c>
      <c r="V78" s="3">
        <v>20000</v>
      </c>
      <c r="W78" s="3" t="s">
        <v>81</v>
      </c>
      <c r="X78" s="3" t="s">
        <v>382</v>
      </c>
      <c r="Y78" s="3">
        <v>0</v>
      </c>
      <c r="Z78" s="3">
        <v>85000</v>
      </c>
      <c r="AA78" s="3">
        <v>85000</v>
      </c>
      <c r="AB78" s="5">
        <v>500</v>
      </c>
      <c r="AC78" s="5">
        <v>0.5</v>
      </c>
      <c r="AD78" s="5">
        <v>0.5</v>
      </c>
      <c r="AE78" s="5">
        <v>0</v>
      </c>
      <c r="AF78" s="5">
        <v>0</v>
      </c>
      <c r="AG78" s="5">
        <v>50</v>
      </c>
      <c r="AH78" s="5">
        <v>-1.5</v>
      </c>
      <c r="AI78" s="5">
        <v>1.5</v>
      </c>
      <c r="AJ78" s="45" t="s">
        <v>1320</v>
      </c>
      <c r="AK78" s="45">
        <v>0</v>
      </c>
      <c r="AM78" s="23">
        <v>0</v>
      </c>
      <c r="AN78" s="23">
        <v>0</v>
      </c>
      <c r="AO78" s="23">
        <v>0</v>
      </c>
      <c r="AP78" s="23">
        <v>0</v>
      </c>
      <c r="AQ78" s="23">
        <v>0</v>
      </c>
      <c r="AR78" s="23">
        <v>0</v>
      </c>
      <c r="AS78" s="25">
        <v>0</v>
      </c>
      <c r="AT78" s="54">
        <v>0</v>
      </c>
      <c r="AU78" s="52">
        <v>0</v>
      </c>
      <c r="AV78" s="52">
        <v>0</v>
      </c>
      <c r="AW78" s="52">
        <v>0</v>
      </c>
      <c r="BH78" s="40">
        <v>2</v>
      </c>
      <c r="BI78" s="40" t="s">
        <v>1416</v>
      </c>
      <c r="BJ78" s="40">
        <v>0</v>
      </c>
    </row>
    <row r="79" spans="1:62" x14ac:dyDescent="0.25">
      <c r="A79" s="6">
        <v>23</v>
      </c>
      <c r="B79" s="6" t="s">
        <v>1662</v>
      </c>
      <c r="C79" s="6" t="s">
        <v>150</v>
      </c>
      <c r="D79" s="6" t="s">
        <v>151</v>
      </c>
      <c r="E79" s="6" t="s">
        <v>152</v>
      </c>
      <c r="F79" s="6" t="s">
        <v>4</v>
      </c>
      <c r="G79" s="17">
        <v>43739.208321759259</v>
      </c>
      <c r="H79" s="21">
        <v>-4</v>
      </c>
      <c r="I79" s="4">
        <f t="shared" si="1"/>
        <v>43739.041655092595</v>
      </c>
      <c r="J79" s="3">
        <v>100</v>
      </c>
      <c r="K79" s="3">
        <v>59700</v>
      </c>
      <c r="L79" s="3">
        <f t="shared" si="2"/>
        <v>4.2591897705544932E-2</v>
      </c>
      <c r="M79" s="3">
        <v>298.82</v>
      </c>
      <c r="N79" s="3">
        <f>DEGREES(ATAN(204/85))</f>
        <v>67.38013505195957</v>
      </c>
      <c r="O79" s="3" t="s">
        <v>104</v>
      </c>
      <c r="P79" s="3">
        <v>34.494300000000003</v>
      </c>
      <c r="Q79" s="3">
        <v>-83.309599999999989</v>
      </c>
      <c r="R79" s="3">
        <v>14600</v>
      </c>
      <c r="S79" s="3">
        <v>15000</v>
      </c>
      <c r="T79" s="3">
        <v>59700</v>
      </c>
      <c r="U79" s="3">
        <v>67.38013505195957</v>
      </c>
      <c r="V79" s="3">
        <v>14000</v>
      </c>
      <c r="W79" s="3" t="s">
        <v>81</v>
      </c>
      <c r="X79" s="3" t="s">
        <v>382</v>
      </c>
      <c r="Y79" s="3">
        <v>0</v>
      </c>
      <c r="Z79" s="3">
        <v>100000</v>
      </c>
      <c r="AA79" s="3">
        <v>100000</v>
      </c>
      <c r="AB79" s="5">
        <v>0</v>
      </c>
      <c r="AC79" s="5">
        <v>0</v>
      </c>
      <c r="AD79" s="5">
        <v>0</v>
      </c>
      <c r="AE79" s="5">
        <v>0</v>
      </c>
      <c r="AF79" s="5">
        <v>0</v>
      </c>
      <c r="AG79" s="5">
        <v>0</v>
      </c>
      <c r="AH79" s="5">
        <v>-1.5</v>
      </c>
      <c r="AI79" s="5">
        <v>1.5</v>
      </c>
      <c r="AJ79" s="45" t="s">
        <v>1320</v>
      </c>
      <c r="AK79" s="45">
        <v>0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3">
        <v>0</v>
      </c>
      <c r="AS79" s="25">
        <v>0</v>
      </c>
      <c r="AT79" s="54">
        <v>0</v>
      </c>
      <c r="AU79" s="52">
        <v>0</v>
      </c>
      <c r="AV79" s="52">
        <v>0</v>
      </c>
      <c r="AW79" s="52">
        <v>0</v>
      </c>
      <c r="BH79" s="40">
        <v>2</v>
      </c>
      <c r="BI79" s="40" t="s">
        <v>1416</v>
      </c>
      <c r="BJ79" s="40">
        <v>0</v>
      </c>
    </row>
    <row r="80" spans="1:62" x14ac:dyDescent="0.25">
      <c r="A80" s="6">
        <v>19</v>
      </c>
      <c r="B80" s="6" t="s">
        <v>1659</v>
      </c>
      <c r="C80" s="6" t="s">
        <v>153</v>
      </c>
      <c r="D80" s="6" t="s">
        <v>153</v>
      </c>
      <c r="E80" s="6" t="s">
        <v>154</v>
      </c>
      <c r="F80" s="6" t="s">
        <v>4</v>
      </c>
      <c r="G80" s="17">
        <v>43743.966782407406</v>
      </c>
      <c r="H80" s="21">
        <v>-4</v>
      </c>
      <c r="I80" s="4">
        <f t="shared" si="1"/>
        <v>43743.800115740742</v>
      </c>
      <c r="J80" s="3">
        <v>100</v>
      </c>
      <c r="K80" s="3">
        <v>14000</v>
      </c>
      <c r="L80" s="3">
        <f t="shared" si="2"/>
        <v>2.3422562141491394E-3</v>
      </c>
      <c r="M80" s="3">
        <v>1.8779999999999999</v>
      </c>
      <c r="N80" s="3">
        <v>58.131999999999998</v>
      </c>
      <c r="O80" s="3" t="s">
        <v>155</v>
      </c>
      <c r="P80" s="3">
        <v>40.653500000000001</v>
      </c>
      <c r="Q80" s="3">
        <v>-84.091899999999995</v>
      </c>
      <c r="R80" s="3">
        <v>58165</v>
      </c>
      <c r="S80" s="3">
        <v>58168</v>
      </c>
      <c r="T80" s="3">
        <v>14000</v>
      </c>
      <c r="U80" s="3">
        <v>58.131999999999998</v>
      </c>
      <c r="V80" s="3">
        <v>20000</v>
      </c>
      <c r="W80" s="3" t="s">
        <v>81</v>
      </c>
      <c r="X80" s="3" t="s">
        <v>382</v>
      </c>
      <c r="Y80" s="3">
        <v>0</v>
      </c>
      <c r="Z80" s="3">
        <v>85000</v>
      </c>
      <c r="AA80" s="3">
        <v>85000</v>
      </c>
      <c r="AB80" s="5">
        <v>0</v>
      </c>
      <c r="AC80" s="5">
        <v>0</v>
      </c>
      <c r="AD80" s="5">
        <v>0</v>
      </c>
      <c r="AE80" s="5">
        <v>0</v>
      </c>
      <c r="AF80" s="5">
        <v>0</v>
      </c>
      <c r="AG80" s="5">
        <v>0</v>
      </c>
      <c r="AH80" s="5">
        <v>-1.5</v>
      </c>
      <c r="AI80" s="5">
        <v>1.5</v>
      </c>
      <c r="AJ80" s="45" t="s">
        <v>1320</v>
      </c>
      <c r="AK80" s="45">
        <v>0</v>
      </c>
      <c r="AM80" s="23">
        <v>0</v>
      </c>
      <c r="AN80" s="23">
        <v>0</v>
      </c>
      <c r="AO80" s="23">
        <v>0</v>
      </c>
      <c r="AP80" s="23">
        <v>0</v>
      </c>
      <c r="AQ80" s="23">
        <v>0</v>
      </c>
      <c r="AR80" s="23">
        <v>0</v>
      </c>
      <c r="AS80" s="25">
        <v>0</v>
      </c>
      <c r="AT80" s="54">
        <v>0</v>
      </c>
      <c r="AU80" s="52">
        <v>0</v>
      </c>
      <c r="AV80" s="52">
        <v>0</v>
      </c>
      <c r="AW80" s="52">
        <v>0</v>
      </c>
      <c r="BH80" s="40">
        <v>2</v>
      </c>
      <c r="BI80" s="40" t="s">
        <v>1416</v>
      </c>
      <c r="BJ80" s="40">
        <v>0</v>
      </c>
    </row>
    <row r="81" spans="1:62" x14ac:dyDescent="0.25">
      <c r="A81" s="6">
        <v>24</v>
      </c>
      <c r="B81" s="6" t="s">
        <v>1663</v>
      </c>
      <c r="C81" s="6" t="s">
        <v>157</v>
      </c>
      <c r="D81" s="6" t="s">
        <v>156</v>
      </c>
      <c r="E81" s="6" t="s">
        <v>157</v>
      </c>
      <c r="F81" s="6" t="s">
        <v>63</v>
      </c>
      <c r="G81" s="17">
        <v>43748.678194444445</v>
      </c>
      <c r="H81" s="21">
        <v>8</v>
      </c>
      <c r="I81" s="4">
        <f t="shared" si="1"/>
        <v>43749.01152777778</v>
      </c>
      <c r="J81" s="3">
        <v>24111</v>
      </c>
      <c r="K81" s="3">
        <v>14065</v>
      </c>
      <c r="L81" s="3">
        <f t="shared" si="2"/>
        <v>0.56999759667483263</v>
      </c>
      <c r="M81" s="3">
        <v>72.319999999999993</v>
      </c>
      <c r="N81" s="3">
        <v>40</v>
      </c>
      <c r="O81" s="3" t="s">
        <v>1270</v>
      </c>
      <c r="P81" s="3">
        <v>45.071176999999999</v>
      </c>
      <c r="Q81" s="3">
        <v>124.47472</v>
      </c>
      <c r="R81" s="3">
        <v>14716</v>
      </c>
      <c r="S81" s="3">
        <v>15000</v>
      </c>
      <c r="T81" s="3">
        <v>14065</v>
      </c>
      <c r="U81" s="3">
        <v>40</v>
      </c>
      <c r="V81" s="3">
        <v>12000</v>
      </c>
      <c r="W81" s="3" t="s">
        <v>144</v>
      </c>
      <c r="X81" s="3" t="s">
        <v>382</v>
      </c>
      <c r="Y81" s="3">
        <v>0</v>
      </c>
      <c r="Z81" s="3">
        <v>100000</v>
      </c>
      <c r="AA81" s="3">
        <v>100000</v>
      </c>
      <c r="AB81" s="5">
        <v>500</v>
      </c>
      <c r="AC81" s="5">
        <v>2</v>
      </c>
      <c r="AD81" s="5">
        <v>10</v>
      </c>
      <c r="AE81" s="5">
        <v>4.0000000000000001E-3</v>
      </c>
      <c r="AF81" s="5">
        <v>1.4999999999999999E-2</v>
      </c>
      <c r="AG81" s="5">
        <v>500</v>
      </c>
      <c r="AH81" s="5">
        <v>-1.5</v>
      </c>
      <c r="AI81" s="5">
        <v>1.5</v>
      </c>
      <c r="AJ81" s="45" t="s">
        <v>1320</v>
      </c>
      <c r="AK81" s="45">
        <v>0</v>
      </c>
      <c r="AM81" s="23">
        <v>0</v>
      </c>
      <c r="AN81" s="23">
        <v>0</v>
      </c>
      <c r="AO81" s="23">
        <v>0</v>
      </c>
      <c r="AP81" s="23">
        <v>0</v>
      </c>
      <c r="AQ81" s="23">
        <v>0</v>
      </c>
      <c r="AR81" s="23">
        <v>0</v>
      </c>
      <c r="AS81" s="25">
        <v>0</v>
      </c>
      <c r="AT81" s="54">
        <v>0</v>
      </c>
      <c r="AU81" s="52">
        <v>0</v>
      </c>
      <c r="AV81" s="52">
        <v>0</v>
      </c>
      <c r="AW81" s="52">
        <v>0</v>
      </c>
      <c r="BH81" s="40">
        <v>3</v>
      </c>
      <c r="BI81" s="40" t="s">
        <v>1416</v>
      </c>
      <c r="BJ81" s="40">
        <v>0</v>
      </c>
    </row>
    <row r="82" spans="1:62" x14ac:dyDescent="0.25">
      <c r="A82" s="6">
        <v>26</v>
      </c>
      <c r="B82" s="6" t="s">
        <v>1664</v>
      </c>
      <c r="C82" s="6" t="s">
        <v>163</v>
      </c>
      <c r="D82" s="6" t="s">
        <v>163</v>
      </c>
      <c r="E82" s="6" t="s">
        <v>164</v>
      </c>
      <c r="F82" s="6" t="s">
        <v>4</v>
      </c>
      <c r="G82" s="17">
        <v>43781.119270833333</v>
      </c>
      <c r="H82" s="21">
        <v>-6</v>
      </c>
      <c r="I82" s="4">
        <f t="shared" si="1"/>
        <v>43780.869270833333</v>
      </c>
      <c r="J82" s="3">
        <v>86</v>
      </c>
      <c r="K82" s="3">
        <v>15300</v>
      </c>
      <c r="L82" s="3">
        <f t="shared" si="2"/>
        <v>2.4058006692160611E-3</v>
      </c>
      <c r="M82" s="3">
        <v>303.66000000000003</v>
      </c>
      <c r="N82" s="3">
        <v>38</v>
      </c>
      <c r="O82" s="3" t="s">
        <v>1334</v>
      </c>
      <c r="P82" s="3">
        <v>38.763585999999997</v>
      </c>
      <c r="Q82" s="3">
        <v>-91.385735999999994</v>
      </c>
      <c r="R82" s="3">
        <v>16400</v>
      </c>
      <c r="S82" s="3">
        <v>17500</v>
      </c>
      <c r="T82" s="3">
        <v>15300</v>
      </c>
      <c r="U82" s="3">
        <v>38</v>
      </c>
      <c r="V82" s="3">
        <v>16400</v>
      </c>
      <c r="W82" s="3" t="s">
        <v>144</v>
      </c>
      <c r="X82" s="3" t="s">
        <v>382</v>
      </c>
      <c r="Y82" s="3">
        <v>0</v>
      </c>
      <c r="Z82" s="3">
        <v>60000</v>
      </c>
      <c r="AA82" s="3">
        <v>60000</v>
      </c>
      <c r="AB82" s="5">
        <v>500</v>
      </c>
      <c r="AC82" s="5">
        <v>0.5</v>
      </c>
      <c r="AD82" s="5">
        <v>2</v>
      </c>
      <c r="AE82" s="5">
        <v>0</v>
      </c>
      <c r="AF82" s="5">
        <v>0</v>
      </c>
      <c r="AG82" s="5">
        <v>0</v>
      </c>
      <c r="AH82" s="5">
        <v>-1.5</v>
      </c>
      <c r="AI82" s="5">
        <v>1.5</v>
      </c>
      <c r="AJ82" s="45" t="s">
        <v>1320</v>
      </c>
      <c r="AK82" s="45">
        <v>0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3">
        <v>0</v>
      </c>
      <c r="AS82" s="25">
        <v>0</v>
      </c>
      <c r="AT82" s="54">
        <v>0</v>
      </c>
      <c r="AU82" s="52">
        <v>0</v>
      </c>
      <c r="AV82" s="52">
        <v>0</v>
      </c>
      <c r="AW82" s="52">
        <v>0</v>
      </c>
      <c r="AX82" s="38">
        <v>0</v>
      </c>
      <c r="AY82" s="38">
        <v>0</v>
      </c>
      <c r="AZ82" s="38">
        <v>0</v>
      </c>
      <c r="BA82" s="38">
        <v>0</v>
      </c>
      <c r="BB82" s="38">
        <v>0</v>
      </c>
      <c r="BC82" s="38">
        <v>0</v>
      </c>
      <c r="BD82" s="38">
        <v>0</v>
      </c>
      <c r="BE82" s="38">
        <v>0</v>
      </c>
      <c r="BF82" s="38">
        <v>0</v>
      </c>
      <c r="BG82" s="38">
        <v>0</v>
      </c>
      <c r="BH82" s="40">
        <v>3</v>
      </c>
      <c r="BI82" s="40" t="s">
        <v>1416</v>
      </c>
      <c r="BJ82" s="40">
        <v>0</v>
      </c>
    </row>
    <row r="83" spans="1:62" x14ac:dyDescent="0.25">
      <c r="A83" s="6">
        <v>26</v>
      </c>
      <c r="B83" s="6" t="s">
        <v>1664</v>
      </c>
      <c r="C83" s="6" t="s">
        <v>1335</v>
      </c>
      <c r="D83" s="6" t="s">
        <v>1336</v>
      </c>
      <c r="E83" s="6" t="s">
        <v>164</v>
      </c>
      <c r="F83" s="6" t="s">
        <v>4</v>
      </c>
      <c r="G83" s="17">
        <v>43781.119270833333</v>
      </c>
      <c r="H83" s="21">
        <v>-6</v>
      </c>
      <c r="I83" s="4">
        <f t="shared" si="1"/>
        <v>43780.869270833333</v>
      </c>
      <c r="J83" s="3">
        <v>86</v>
      </c>
      <c r="K83" s="3">
        <v>15300</v>
      </c>
      <c r="L83" s="3">
        <f t="shared" si="2"/>
        <v>2.4058006692160611E-3</v>
      </c>
      <c r="M83" s="3">
        <v>303.66000000000003</v>
      </c>
      <c r="N83" s="3">
        <v>38</v>
      </c>
      <c r="O83" s="3" t="s">
        <v>1334</v>
      </c>
      <c r="P83" s="3">
        <v>38.769644999999997</v>
      </c>
      <c r="Q83" s="3">
        <v>-91.324388999999996</v>
      </c>
      <c r="R83" s="3">
        <v>17695</v>
      </c>
      <c r="S83" s="3">
        <v>17695</v>
      </c>
      <c r="T83" s="3">
        <v>15300</v>
      </c>
      <c r="U83" s="3">
        <v>38</v>
      </c>
      <c r="V83" s="3">
        <v>16400</v>
      </c>
      <c r="W83" s="3" t="s">
        <v>144</v>
      </c>
      <c r="X83" s="3" t="s">
        <v>382</v>
      </c>
      <c r="Y83" s="3">
        <v>0</v>
      </c>
      <c r="Z83" s="3">
        <v>60000</v>
      </c>
      <c r="AA83" s="3">
        <v>30000</v>
      </c>
      <c r="AB83" s="5">
        <v>500</v>
      </c>
      <c r="AC83" s="5">
        <v>0.5</v>
      </c>
      <c r="AD83" s="5">
        <v>2</v>
      </c>
      <c r="AE83" s="5">
        <v>0.01</v>
      </c>
      <c r="AF83" s="5">
        <v>0.01</v>
      </c>
      <c r="AG83" s="5">
        <v>4936</v>
      </c>
      <c r="AH83" s="5">
        <v>-1.5</v>
      </c>
      <c r="AI83" s="5">
        <v>1.5</v>
      </c>
      <c r="AJ83" s="45" t="s">
        <v>1320</v>
      </c>
      <c r="AK83" s="45">
        <v>0</v>
      </c>
      <c r="AM83" s="23">
        <v>0</v>
      </c>
      <c r="AN83" s="23">
        <v>0</v>
      </c>
      <c r="AO83" s="23">
        <v>0</v>
      </c>
      <c r="AP83" s="23">
        <v>0</v>
      </c>
      <c r="AQ83" s="23">
        <v>0</v>
      </c>
      <c r="AR83" s="23">
        <v>0</v>
      </c>
      <c r="AS83" s="25">
        <v>0</v>
      </c>
      <c r="AT83" s="54">
        <v>0</v>
      </c>
      <c r="AU83" s="52">
        <v>0</v>
      </c>
      <c r="AV83" s="52">
        <v>0</v>
      </c>
      <c r="AW83" s="52">
        <v>0</v>
      </c>
      <c r="BH83" s="40">
        <v>3</v>
      </c>
      <c r="BI83" s="40" t="s">
        <v>1416</v>
      </c>
      <c r="BJ83" s="40">
        <v>0</v>
      </c>
    </row>
    <row r="84" spans="1:62" x14ac:dyDescent="0.25">
      <c r="A84" s="6">
        <v>27</v>
      </c>
      <c r="B84" s="6" t="s">
        <v>1665</v>
      </c>
      <c r="C84" s="6" t="s">
        <v>175</v>
      </c>
      <c r="D84" s="6" t="s">
        <v>175</v>
      </c>
      <c r="E84" s="6" t="s">
        <v>56</v>
      </c>
      <c r="F84" s="6" t="s">
        <v>154</v>
      </c>
      <c r="G84" s="17">
        <v>43803.011435185188</v>
      </c>
      <c r="H84" s="21">
        <v>-5</v>
      </c>
      <c r="I84" s="4">
        <f t="shared" si="1"/>
        <v>43802.803101851852</v>
      </c>
      <c r="J84" s="3">
        <v>50</v>
      </c>
      <c r="K84" s="3">
        <v>20000</v>
      </c>
      <c r="L84" s="3">
        <f t="shared" si="2"/>
        <v>2.3900573613766726E-3</v>
      </c>
      <c r="M84" s="3">
        <v>31.736000000000001</v>
      </c>
      <c r="N84" s="3">
        <v>55</v>
      </c>
      <c r="O84" s="3" t="s">
        <v>1334</v>
      </c>
      <c r="P84" s="3">
        <v>40.910291000000001</v>
      </c>
      <c r="Q84" s="3">
        <v>-86.613352000000006</v>
      </c>
      <c r="R84" s="3">
        <v>18000</v>
      </c>
      <c r="S84" s="3">
        <v>18000</v>
      </c>
      <c r="T84" s="3">
        <v>20000</v>
      </c>
      <c r="U84" s="3">
        <v>55</v>
      </c>
      <c r="V84" s="3">
        <v>18000</v>
      </c>
      <c r="W84" s="3" t="s">
        <v>144</v>
      </c>
      <c r="X84" s="3" t="s">
        <v>382</v>
      </c>
      <c r="Y84" s="3">
        <v>0</v>
      </c>
      <c r="Z84" s="3">
        <v>85000</v>
      </c>
      <c r="AA84" s="3">
        <v>85000</v>
      </c>
      <c r="AB84" s="5">
        <v>3000</v>
      </c>
      <c r="AC84" s="5">
        <v>10</v>
      </c>
      <c r="AD84" s="5">
        <v>10</v>
      </c>
      <c r="AE84" s="5">
        <v>0.01</v>
      </c>
      <c r="AF84" s="5">
        <v>0.05</v>
      </c>
      <c r="AG84" s="5">
        <v>2000</v>
      </c>
      <c r="AH84" s="5">
        <v>-1.5</v>
      </c>
      <c r="AI84" s="5">
        <v>1.5</v>
      </c>
      <c r="AJ84" s="45" t="s">
        <v>1320</v>
      </c>
      <c r="AK84" s="45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3">
        <v>0</v>
      </c>
      <c r="AS84" s="25">
        <v>0</v>
      </c>
      <c r="AT84" s="54">
        <v>0</v>
      </c>
      <c r="AU84" s="52">
        <v>0</v>
      </c>
      <c r="AV84" s="52">
        <v>0</v>
      </c>
      <c r="AW84" s="52">
        <v>0</v>
      </c>
      <c r="BH84" s="40">
        <v>2</v>
      </c>
      <c r="BI84" s="40" t="s">
        <v>1416</v>
      </c>
      <c r="BJ84" s="40">
        <v>0</v>
      </c>
    </row>
    <row r="85" spans="1:62" x14ac:dyDescent="0.25">
      <c r="A85" s="6">
        <v>162</v>
      </c>
      <c r="B85" s="6" t="s">
        <v>1787</v>
      </c>
      <c r="C85" s="6" t="s">
        <v>1561</v>
      </c>
      <c r="D85" s="6" t="s">
        <v>1561</v>
      </c>
      <c r="E85" s="6" t="s">
        <v>1580</v>
      </c>
      <c r="F85" s="6" t="s">
        <v>731</v>
      </c>
      <c r="G85" s="17">
        <v>43831.768680555557</v>
      </c>
      <c r="H85" s="21">
        <v>1</v>
      </c>
      <c r="I85" s="4">
        <f t="shared" si="1"/>
        <v>43831.810347222221</v>
      </c>
      <c r="J85" s="3">
        <v>3.5</v>
      </c>
      <c r="P85" s="3">
        <v>44.828888999999997</v>
      </c>
      <c r="Q85" s="3">
        <v>10.972222</v>
      </c>
      <c r="W85" s="3" t="s">
        <v>115</v>
      </c>
      <c r="X85" s="3" t="s">
        <v>1576</v>
      </c>
      <c r="AH85" s="5">
        <v>-1.5</v>
      </c>
      <c r="AI85" s="5">
        <v>1.5</v>
      </c>
      <c r="AJ85" s="45">
        <v>0</v>
      </c>
      <c r="AK85" s="45">
        <v>0</v>
      </c>
      <c r="AL85" s="45">
        <v>0</v>
      </c>
      <c r="AM85" s="23">
        <v>0</v>
      </c>
      <c r="AN85" s="23">
        <v>0</v>
      </c>
      <c r="AO85" s="23">
        <v>0</v>
      </c>
      <c r="AP85" s="23">
        <v>0</v>
      </c>
      <c r="AQ85" s="23">
        <v>0</v>
      </c>
      <c r="AR85" s="23">
        <v>0</v>
      </c>
      <c r="AS85" s="25">
        <v>0</v>
      </c>
      <c r="AT85" s="54">
        <v>0</v>
      </c>
      <c r="AU85" s="52">
        <v>0</v>
      </c>
      <c r="AV85" s="52">
        <v>0</v>
      </c>
      <c r="AW85" s="52">
        <v>0</v>
      </c>
      <c r="AX85" s="38">
        <v>0</v>
      </c>
      <c r="AY85" s="38">
        <v>139</v>
      </c>
      <c r="AZ85" s="38">
        <v>0</v>
      </c>
      <c r="BA85" s="38">
        <v>0</v>
      </c>
      <c r="BB85" s="38">
        <v>0</v>
      </c>
      <c r="BC85" s="38">
        <v>0</v>
      </c>
      <c r="BD85" s="38">
        <v>138</v>
      </c>
      <c r="BE85" s="38">
        <v>0</v>
      </c>
      <c r="BF85" s="38">
        <v>0</v>
      </c>
      <c r="BG85" s="38">
        <v>0</v>
      </c>
      <c r="BH85" s="40">
        <v>0</v>
      </c>
      <c r="BI85" s="40" t="s">
        <v>1416</v>
      </c>
      <c r="BJ85" s="40">
        <v>0</v>
      </c>
    </row>
    <row r="86" spans="1:62" x14ac:dyDescent="0.25">
      <c r="A86" s="6">
        <v>63</v>
      </c>
      <c r="B86" s="6" t="s">
        <v>1700</v>
      </c>
      <c r="C86" s="6" t="s">
        <v>395</v>
      </c>
      <c r="D86" s="6" t="s">
        <v>395</v>
      </c>
      <c r="E86" s="6" t="s">
        <v>396</v>
      </c>
      <c r="F86" s="6" t="s">
        <v>394</v>
      </c>
      <c r="G86" s="17">
        <v>43835.127986111111</v>
      </c>
      <c r="H86" s="21">
        <v>1</v>
      </c>
      <c r="I86" s="4">
        <f t="shared" si="1"/>
        <v>43835.169652777775</v>
      </c>
      <c r="J86" s="3">
        <v>150</v>
      </c>
      <c r="K86" s="3">
        <v>18000</v>
      </c>
      <c r="L86" s="36">
        <f t="shared" ref="L86:L93" si="3">J86*K86^2/2/4.184/10^12</f>
        <v>5.8078393881453149E-3</v>
      </c>
      <c r="M86" s="3">
        <v>93</v>
      </c>
      <c r="N86" s="3">
        <v>72.849999999999994</v>
      </c>
      <c r="O86" s="3" t="s">
        <v>1334</v>
      </c>
      <c r="P86" s="3">
        <v>51.702399999999997</v>
      </c>
      <c r="Q86" s="3">
        <v>16.125699999999998</v>
      </c>
      <c r="R86" s="3">
        <v>25435</v>
      </c>
      <c r="S86" s="3">
        <f>R86+1500</f>
        <v>26935</v>
      </c>
      <c r="T86" s="3">
        <v>19000</v>
      </c>
      <c r="U86" s="3">
        <v>79</v>
      </c>
      <c r="V86" s="3">
        <v>22000</v>
      </c>
      <c r="W86" s="3" t="s">
        <v>144</v>
      </c>
      <c r="X86" s="3" t="s">
        <v>382</v>
      </c>
      <c r="Y86" s="3">
        <v>0</v>
      </c>
      <c r="Z86" s="3">
        <v>85000</v>
      </c>
      <c r="AA86" s="3">
        <v>85000</v>
      </c>
      <c r="AB86" s="5">
        <v>1000</v>
      </c>
      <c r="AC86" s="5">
        <v>3</v>
      </c>
      <c r="AD86" s="5">
        <v>5</v>
      </c>
      <c r="AE86" s="5">
        <v>3.0000000000000001E-3</v>
      </c>
      <c r="AF86" s="5">
        <v>0.01</v>
      </c>
      <c r="AG86" s="5">
        <v>2000</v>
      </c>
      <c r="AH86" s="5">
        <v>-1.5</v>
      </c>
      <c r="AI86" s="5">
        <v>1.5</v>
      </c>
      <c r="AJ86" s="45" t="s">
        <v>1320</v>
      </c>
      <c r="AK86" s="45">
        <v>0</v>
      </c>
      <c r="AM86" s="23">
        <v>0</v>
      </c>
      <c r="AN86" s="23">
        <v>0</v>
      </c>
      <c r="AO86" s="23">
        <v>0</v>
      </c>
      <c r="AP86" s="23">
        <v>0</v>
      </c>
      <c r="AQ86" s="23">
        <v>0</v>
      </c>
      <c r="AR86" s="23">
        <v>0</v>
      </c>
      <c r="AS86" s="25">
        <v>0</v>
      </c>
      <c r="AT86" s="54">
        <v>0</v>
      </c>
      <c r="AU86" s="52">
        <v>0</v>
      </c>
      <c r="AV86" s="52">
        <v>0</v>
      </c>
      <c r="AW86" s="52">
        <v>0</v>
      </c>
      <c r="BH86" s="40">
        <v>3</v>
      </c>
      <c r="BI86" s="40" t="s">
        <v>1416</v>
      </c>
      <c r="BJ86" s="40">
        <v>0</v>
      </c>
    </row>
    <row r="87" spans="1:62" x14ac:dyDescent="0.25">
      <c r="A87" s="6">
        <v>63</v>
      </c>
      <c r="B87" s="6" t="s">
        <v>1700</v>
      </c>
      <c r="C87" s="6" t="s">
        <v>1164</v>
      </c>
      <c r="D87" s="6" t="s">
        <v>395</v>
      </c>
      <c r="E87" s="6" t="s">
        <v>396</v>
      </c>
      <c r="F87" s="6" t="s">
        <v>394</v>
      </c>
      <c r="G87" s="17">
        <v>43835.127986111111</v>
      </c>
      <c r="H87" s="21">
        <v>1</v>
      </c>
      <c r="I87" s="4">
        <f t="shared" si="1"/>
        <v>43835.169652777775</v>
      </c>
      <c r="J87" s="3">
        <v>150</v>
      </c>
      <c r="K87" s="3">
        <v>18000</v>
      </c>
      <c r="L87" s="36">
        <f t="shared" si="3"/>
        <v>5.8078393881453149E-3</v>
      </c>
      <c r="M87" s="3">
        <v>93</v>
      </c>
      <c r="N87" s="3">
        <v>72.849999999999994</v>
      </c>
      <c r="O87" s="3" t="s">
        <v>1334</v>
      </c>
      <c r="P87" s="3">
        <v>51.702399999999997</v>
      </c>
      <c r="Q87" s="3">
        <v>16.125699999999998</v>
      </c>
      <c r="R87" s="3">
        <v>25435</v>
      </c>
      <c r="S87" s="3">
        <f>R87+1500</f>
        <v>26935</v>
      </c>
      <c r="T87" s="3">
        <v>19000</v>
      </c>
      <c r="U87" s="3">
        <v>79</v>
      </c>
      <c r="V87" s="3">
        <v>22000</v>
      </c>
      <c r="W87" s="3" t="s">
        <v>111</v>
      </c>
      <c r="X87" s="3" t="s">
        <v>382</v>
      </c>
      <c r="Y87" s="3">
        <v>0</v>
      </c>
      <c r="Z87" s="3">
        <v>85000</v>
      </c>
      <c r="AA87" s="3">
        <v>85000</v>
      </c>
      <c r="AB87" s="5">
        <v>1000</v>
      </c>
      <c r="AC87" s="5">
        <v>3</v>
      </c>
      <c r="AD87" s="5">
        <v>5</v>
      </c>
      <c r="AE87" s="5">
        <v>3.0000000000000001E-3</v>
      </c>
      <c r="AF87" s="5">
        <v>0.01</v>
      </c>
      <c r="AG87" s="5">
        <v>2000</v>
      </c>
      <c r="AH87" s="5">
        <v>-1.5</v>
      </c>
      <c r="AI87" s="5">
        <v>1.5</v>
      </c>
      <c r="AJ87" s="45" t="s">
        <v>1320</v>
      </c>
      <c r="AK87" s="45">
        <v>0</v>
      </c>
      <c r="AM87" s="23">
        <v>0</v>
      </c>
      <c r="AN87" s="23">
        <v>0</v>
      </c>
      <c r="AO87" s="23">
        <v>0</v>
      </c>
      <c r="AP87" s="23">
        <v>0</v>
      </c>
      <c r="AQ87" s="23">
        <v>0</v>
      </c>
      <c r="AR87" s="23">
        <v>0</v>
      </c>
      <c r="AS87" s="25">
        <v>0</v>
      </c>
      <c r="AT87" s="54">
        <v>0</v>
      </c>
      <c r="AU87" s="52">
        <v>0</v>
      </c>
      <c r="AV87" s="52">
        <v>0</v>
      </c>
      <c r="AW87" s="52">
        <v>0</v>
      </c>
      <c r="BH87" s="40">
        <v>3</v>
      </c>
      <c r="BI87" s="40" t="s">
        <v>1416</v>
      </c>
      <c r="BJ87" s="40">
        <v>0</v>
      </c>
    </row>
    <row r="88" spans="1:62" x14ac:dyDescent="0.25">
      <c r="A88" s="6">
        <v>64</v>
      </c>
      <c r="B88" s="6" t="s">
        <v>1701</v>
      </c>
      <c r="C88" s="6" t="s">
        <v>1159</v>
      </c>
      <c r="D88" s="6" t="s">
        <v>1160</v>
      </c>
      <c r="E88" s="6" t="s">
        <v>1159</v>
      </c>
      <c r="F88" s="6" t="s">
        <v>418</v>
      </c>
      <c r="G88" s="17">
        <v>43857.235590277778</v>
      </c>
      <c r="H88" s="21">
        <v>1</v>
      </c>
      <c r="I88" s="4">
        <f t="shared" si="1"/>
        <v>43857.277256944442</v>
      </c>
      <c r="J88" s="3">
        <v>2884.7838256963983</v>
      </c>
      <c r="K88" s="3">
        <v>20860</v>
      </c>
      <c r="L88" s="3">
        <f t="shared" si="3"/>
        <v>0.15001000000000006</v>
      </c>
      <c r="M88" s="3">
        <v>244.441</v>
      </c>
      <c r="N88" s="3">
        <v>67.852999999999994</v>
      </c>
      <c r="O88" s="3" t="s">
        <v>1270</v>
      </c>
      <c r="P88" s="3">
        <v>30.4</v>
      </c>
      <c r="Q88" s="3">
        <v>1.5</v>
      </c>
      <c r="R88" s="3">
        <v>32500</v>
      </c>
      <c r="S88" s="3">
        <v>32650</v>
      </c>
      <c r="T88" s="3">
        <v>19797</v>
      </c>
      <c r="U88" s="3">
        <v>67.852999999999994</v>
      </c>
      <c r="V88" s="3">
        <v>15000</v>
      </c>
      <c r="W88" s="3" t="s">
        <v>144</v>
      </c>
      <c r="X88" s="3" t="s">
        <v>382</v>
      </c>
      <c r="Y88" s="3">
        <v>0</v>
      </c>
      <c r="Z88" s="3">
        <v>85000</v>
      </c>
      <c r="AA88" s="3">
        <v>85000</v>
      </c>
      <c r="AB88" s="5">
        <v>1000</v>
      </c>
      <c r="AC88" s="5">
        <v>2</v>
      </c>
      <c r="AD88" s="5">
        <v>10</v>
      </c>
      <c r="AE88" s="5">
        <v>0.05</v>
      </c>
      <c r="AF88" s="5">
        <v>0.05</v>
      </c>
      <c r="AG88" s="5">
        <v>1000</v>
      </c>
      <c r="AH88" s="5">
        <v>-1.5</v>
      </c>
      <c r="AI88" s="5">
        <v>1.5</v>
      </c>
      <c r="AJ88" s="45" t="s">
        <v>1320</v>
      </c>
      <c r="AK88" s="45">
        <v>0</v>
      </c>
      <c r="AM88" s="23">
        <v>0</v>
      </c>
      <c r="AN88" s="23">
        <v>0</v>
      </c>
      <c r="AO88" s="23">
        <v>0</v>
      </c>
      <c r="AP88" s="23">
        <v>0</v>
      </c>
      <c r="AQ88" s="23">
        <v>0</v>
      </c>
      <c r="AR88" s="23">
        <v>0</v>
      </c>
      <c r="AS88" s="25">
        <v>0</v>
      </c>
      <c r="AT88" s="54">
        <v>0</v>
      </c>
      <c r="AU88" s="52">
        <v>0</v>
      </c>
      <c r="AV88" s="52">
        <v>0</v>
      </c>
      <c r="AW88" s="52">
        <v>0</v>
      </c>
      <c r="AX88" s="38">
        <v>0</v>
      </c>
      <c r="AY88" s="38">
        <v>0</v>
      </c>
      <c r="AZ88" s="38">
        <v>0</v>
      </c>
      <c r="BA88" s="38">
        <v>0</v>
      </c>
      <c r="BB88" s="38">
        <v>0</v>
      </c>
      <c r="BC88" s="38">
        <v>0</v>
      </c>
      <c r="BD88" s="38">
        <v>0</v>
      </c>
      <c r="BE88" s="38">
        <v>0</v>
      </c>
      <c r="BF88" s="38">
        <v>0</v>
      </c>
      <c r="BG88" s="38">
        <v>0</v>
      </c>
      <c r="BH88" s="41">
        <v>2</v>
      </c>
      <c r="BI88" s="40" t="s">
        <v>1416</v>
      </c>
      <c r="BJ88" s="40">
        <v>0</v>
      </c>
    </row>
    <row r="89" spans="1:62" x14ac:dyDescent="0.25">
      <c r="A89" s="6">
        <v>65</v>
      </c>
      <c r="B89" s="6" t="s">
        <v>1702</v>
      </c>
      <c r="C89" s="6" t="s">
        <v>1161</v>
      </c>
      <c r="D89" s="6" t="s">
        <v>1161</v>
      </c>
      <c r="E89" s="6" t="s">
        <v>1162</v>
      </c>
      <c r="F89" s="6" t="s">
        <v>1025</v>
      </c>
      <c r="G89" s="17">
        <v>43858.963888888888</v>
      </c>
      <c r="H89" s="21">
        <v>1</v>
      </c>
      <c r="I89" s="4">
        <f t="shared" si="1"/>
        <v>43859.005555555552</v>
      </c>
      <c r="J89" s="3">
        <v>300</v>
      </c>
      <c r="K89" s="3">
        <v>16944</v>
      </c>
      <c r="L89" s="3">
        <f t="shared" si="3"/>
        <v>1.0292751051625238E-2</v>
      </c>
      <c r="M89" s="3">
        <v>5.09</v>
      </c>
      <c r="N89" s="3">
        <v>31</v>
      </c>
      <c r="O89" s="3" t="s">
        <v>1334</v>
      </c>
      <c r="P89" s="3">
        <v>37.256760999999997</v>
      </c>
      <c r="Q89" s="3">
        <v>-5.5024499999999996</v>
      </c>
      <c r="R89" s="3">
        <v>20000</v>
      </c>
      <c r="S89" s="3">
        <v>20500</v>
      </c>
      <c r="T89" s="3">
        <v>6</v>
      </c>
      <c r="U89" s="3">
        <v>31</v>
      </c>
      <c r="V89" s="3">
        <v>18000</v>
      </c>
      <c r="W89" s="3" t="s">
        <v>144</v>
      </c>
      <c r="X89" s="3" t="s">
        <v>382</v>
      </c>
      <c r="Y89" s="3">
        <v>0</v>
      </c>
      <c r="Z89" s="3">
        <v>91000</v>
      </c>
      <c r="AA89" s="3">
        <v>91000</v>
      </c>
      <c r="AB89" s="5">
        <v>200</v>
      </c>
      <c r="AC89" s="5">
        <v>2</v>
      </c>
      <c r="AD89" s="5">
        <v>5</v>
      </c>
      <c r="AE89" s="5">
        <v>0.01</v>
      </c>
      <c r="AF89" s="5">
        <v>0.01</v>
      </c>
      <c r="AG89" s="5">
        <v>1000</v>
      </c>
      <c r="AH89" s="5">
        <v>-1.5</v>
      </c>
      <c r="AI89" s="5">
        <v>1.5</v>
      </c>
      <c r="AJ89" s="45" t="s">
        <v>1320</v>
      </c>
      <c r="AK89" s="45">
        <v>0</v>
      </c>
      <c r="AM89" s="23">
        <v>0</v>
      </c>
      <c r="AN89" s="23">
        <v>0</v>
      </c>
      <c r="AO89" s="23">
        <v>0</v>
      </c>
      <c r="AP89" s="23">
        <v>0</v>
      </c>
      <c r="AQ89" s="23">
        <v>0</v>
      </c>
      <c r="AR89" s="23">
        <v>0</v>
      </c>
      <c r="AS89" s="25">
        <v>0</v>
      </c>
      <c r="AT89" s="54">
        <v>0</v>
      </c>
      <c r="AU89" s="52">
        <v>0</v>
      </c>
      <c r="AV89" s="52">
        <v>0</v>
      </c>
      <c r="AW89" s="52">
        <v>0</v>
      </c>
      <c r="AX89" s="38">
        <v>0</v>
      </c>
      <c r="AY89" s="38">
        <v>0</v>
      </c>
      <c r="AZ89" s="38">
        <v>0</v>
      </c>
      <c r="BA89" s="38">
        <v>0</v>
      </c>
      <c r="BB89" s="38">
        <v>0</v>
      </c>
      <c r="BC89" s="38">
        <v>0</v>
      </c>
      <c r="BD89" s="38">
        <v>0</v>
      </c>
      <c r="BE89" s="38">
        <v>0</v>
      </c>
      <c r="BF89" s="38">
        <v>0</v>
      </c>
      <c r="BG89" s="38">
        <v>0</v>
      </c>
      <c r="BI89" s="40" t="s">
        <v>1416</v>
      </c>
      <c r="BJ89" s="40">
        <v>0</v>
      </c>
    </row>
    <row r="90" spans="1:62" x14ac:dyDescent="0.25">
      <c r="A90" s="6">
        <v>67</v>
      </c>
      <c r="B90" s="6" t="s">
        <v>1704</v>
      </c>
      <c r="C90" s="6" t="s">
        <v>1171</v>
      </c>
      <c r="D90" s="6" t="s">
        <v>1171</v>
      </c>
      <c r="E90" s="6" t="s">
        <v>648</v>
      </c>
      <c r="F90" s="6" t="s">
        <v>4</v>
      </c>
      <c r="G90" s="17">
        <v>43868.986851851849</v>
      </c>
      <c r="H90" s="21">
        <v>-5</v>
      </c>
      <c r="I90" s="4">
        <f t="shared" si="1"/>
        <v>43868.778518518513</v>
      </c>
      <c r="J90" s="3">
        <v>150</v>
      </c>
      <c r="K90" s="3">
        <v>19080</v>
      </c>
      <c r="L90" s="3">
        <f t="shared" si="3"/>
        <v>6.5256883365200757E-3</v>
      </c>
      <c r="M90" s="3">
        <v>118.3</v>
      </c>
      <c r="N90" s="3">
        <v>33.299999999999997</v>
      </c>
      <c r="O90" s="3" t="s">
        <v>1334</v>
      </c>
      <c r="P90" s="3">
        <v>33.475124000000001</v>
      </c>
      <c r="Q90" s="3">
        <v>-85.222961999999995</v>
      </c>
      <c r="R90" s="3">
        <v>31040</v>
      </c>
      <c r="S90" s="3">
        <v>31040</v>
      </c>
      <c r="T90" s="3">
        <v>19080</v>
      </c>
      <c r="U90" s="3">
        <v>33.299999999999997</v>
      </c>
      <c r="V90" s="3">
        <v>25000</v>
      </c>
      <c r="W90" s="3" t="s">
        <v>144</v>
      </c>
      <c r="X90" s="3" t="s">
        <v>382</v>
      </c>
      <c r="Y90" s="3">
        <v>0</v>
      </c>
      <c r="Z90" s="3">
        <v>85000</v>
      </c>
      <c r="AA90" s="3">
        <v>85000</v>
      </c>
      <c r="AB90" s="5">
        <v>3000</v>
      </c>
      <c r="AC90" s="5">
        <v>10</v>
      </c>
      <c r="AD90" s="5">
        <v>10</v>
      </c>
      <c r="AE90" s="5">
        <v>0</v>
      </c>
      <c r="AF90" s="5">
        <v>0</v>
      </c>
      <c r="AG90" s="5">
        <v>5000</v>
      </c>
      <c r="AH90" s="5">
        <v>-1.5</v>
      </c>
      <c r="AI90" s="5">
        <v>1.5</v>
      </c>
      <c r="AJ90" s="45" t="s">
        <v>1320</v>
      </c>
      <c r="AK90" s="45">
        <v>0</v>
      </c>
      <c r="AM90" s="23">
        <v>0</v>
      </c>
      <c r="AN90" s="23">
        <v>0</v>
      </c>
      <c r="AO90" s="23">
        <v>0</v>
      </c>
      <c r="AP90" s="23">
        <v>0</v>
      </c>
      <c r="AQ90" s="23">
        <v>0</v>
      </c>
      <c r="AR90" s="23">
        <v>0</v>
      </c>
      <c r="AS90" s="25">
        <v>0</v>
      </c>
      <c r="AT90" s="54">
        <v>0</v>
      </c>
      <c r="AU90" s="52">
        <v>0</v>
      </c>
      <c r="AV90" s="52">
        <v>0</v>
      </c>
      <c r="AW90" s="52">
        <v>0</v>
      </c>
      <c r="BH90" s="40">
        <v>1</v>
      </c>
      <c r="BI90" s="40" t="s">
        <v>1416</v>
      </c>
      <c r="BJ90" s="40">
        <v>0</v>
      </c>
    </row>
    <row r="91" spans="1:62" x14ac:dyDescent="0.25">
      <c r="A91" s="6">
        <v>66</v>
      </c>
      <c r="B91" s="6" t="s">
        <v>1703</v>
      </c>
      <c r="C91" s="6" t="s">
        <v>1170</v>
      </c>
      <c r="D91" s="6" t="s">
        <v>1168</v>
      </c>
      <c r="E91" s="6" t="s">
        <v>1169</v>
      </c>
      <c r="F91" s="6" t="s">
        <v>710</v>
      </c>
      <c r="G91" s="17">
        <v>43871.991863425923</v>
      </c>
      <c r="H91" s="21">
        <v>5.5</v>
      </c>
      <c r="I91" s="4">
        <f t="shared" si="1"/>
        <v>43872.221030092587</v>
      </c>
      <c r="J91" s="3">
        <v>791</v>
      </c>
      <c r="K91" s="3">
        <v>31690</v>
      </c>
      <c r="L91" s="3">
        <f t="shared" si="3"/>
        <v>9.4929084022466539E-2</v>
      </c>
      <c r="M91" s="3">
        <v>78.099999999999994</v>
      </c>
      <c r="N91" s="3">
        <v>50.03</v>
      </c>
      <c r="O91" s="3" t="s">
        <v>1270</v>
      </c>
      <c r="P91" s="3">
        <v>28.192</v>
      </c>
      <c r="Q91" s="3">
        <v>76.8005</v>
      </c>
      <c r="R91" s="3">
        <v>39102</v>
      </c>
      <c r="S91" s="3">
        <v>39102</v>
      </c>
      <c r="T91" s="3">
        <v>31690</v>
      </c>
      <c r="U91" s="3">
        <v>50</v>
      </c>
      <c r="V91" s="3">
        <v>30000</v>
      </c>
      <c r="W91" s="3" t="s">
        <v>144</v>
      </c>
      <c r="X91" s="3" t="s">
        <v>382</v>
      </c>
      <c r="Y91" s="3">
        <v>0</v>
      </c>
      <c r="Z91" s="3">
        <v>50000</v>
      </c>
      <c r="AA91" s="3">
        <v>50000</v>
      </c>
      <c r="AB91" s="5">
        <v>1000</v>
      </c>
      <c r="AC91" s="5">
        <v>4</v>
      </c>
      <c r="AD91" s="5">
        <v>4</v>
      </c>
      <c r="AE91" s="5">
        <v>3.5000000000000003E-2</v>
      </c>
      <c r="AF91" s="5">
        <v>3.5000000000000003E-2</v>
      </c>
      <c r="AG91" s="5">
        <v>1000</v>
      </c>
      <c r="AH91" s="5">
        <v>-1.5</v>
      </c>
      <c r="AI91" s="5">
        <v>1.5</v>
      </c>
      <c r="AJ91" s="45" t="s">
        <v>1320</v>
      </c>
      <c r="AK91" s="45">
        <v>0</v>
      </c>
      <c r="AM91" s="23">
        <v>0</v>
      </c>
      <c r="AN91" s="23">
        <v>0</v>
      </c>
      <c r="AO91" s="23">
        <v>0</v>
      </c>
      <c r="AP91" s="23">
        <v>0</v>
      </c>
      <c r="AQ91" s="23">
        <v>0</v>
      </c>
      <c r="AR91" s="23">
        <v>0</v>
      </c>
      <c r="AS91" s="25">
        <v>0</v>
      </c>
      <c r="AT91" s="54">
        <v>0</v>
      </c>
      <c r="AU91" s="52">
        <v>0</v>
      </c>
      <c r="AV91" s="52">
        <v>0</v>
      </c>
      <c r="AW91" s="52">
        <v>0</v>
      </c>
      <c r="AX91" s="38">
        <v>0</v>
      </c>
      <c r="AY91" s="38">
        <v>0</v>
      </c>
      <c r="AZ91" s="38">
        <v>0</v>
      </c>
      <c r="BA91" s="38">
        <v>0</v>
      </c>
      <c r="BB91" s="38">
        <v>0</v>
      </c>
      <c r="BC91" s="38">
        <v>0</v>
      </c>
      <c r="BD91" s="38">
        <v>0</v>
      </c>
      <c r="BE91" s="38">
        <v>0</v>
      </c>
      <c r="BF91" s="38">
        <v>0</v>
      </c>
      <c r="BG91" s="38">
        <v>0</v>
      </c>
      <c r="BH91" s="40">
        <v>0</v>
      </c>
      <c r="BI91" s="40" t="s">
        <v>1416</v>
      </c>
      <c r="BJ91" s="40">
        <v>0</v>
      </c>
    </row>
    <row r="92" spans="1:62" x14ac:dyDescent="0.25">
      <c r="A92" s="6">
        <v>68</v>
      </c>
      <c r="B92" s="6" t="s">
        <v>1705</v>
      </c>
      <c r="C92" s="6" t="s">
        <v>1225</v>
      </c>
      <c r="D92" s="6" t="s">
        <v>1226</v>
      </c>
      <c r="E92" s="6" t="s">
        <v>1227</v>
      </c>
      <c r="F92" s="6" t="s">
        <v>4</v>
      </c>
      <c r="G92" s="17">
        <v>43877.59542824074</v>
      </c>
      <c r="H92" s="21">
        <v>-7</v>
      </c>
      <c r="I92" s="4">
        <f t="shared" si="1"/>
        <v>43877.303761574076</v>
      </c>
      <c r="J92" s="3">
        <v>150</v>
      </c>
      <c r="K92" s="3">
        <v>23000</v>
      </c>
      <c r="L92" s="3">
        <f t="shared" si="3"/>
        <v>9.48255258126195E-3</v>
      </c>
      <c r="M92" s="3">
        <v>252.25</v>
      </c>
      <c r="N92" s="3">
        <v>69</v>
      </c>
      <c r="O92" s="3" t="s">
        <v>1334</v>
      </c>
      <c r="P92" s="3">
        <v>34.81814</v>
      </c>
      <c r="Q92" s="3">
        <v>-112.53377999999999</v>
      </c>
      <c r="R92" s="3">
        <v>28900</v>
      </c>
      <c r="S92" s="3">
        <v>29000</v>
      </c>
      <c r="T92" s="3">
        <v>22000</v>
      </c>
      <c r="U92" s="3">
        <v>53.4</v>
      </c>
      <c r="V92" s="3">
        <v>19000</v>
      </c>
      <c r="W92" s="3" t="s">
        <v>144</v>
      </c>
      <c r="X92" s="3" t="s">
        <v>382</v>
      </c>
      <c r="Y92" s="3">
        <v>0</v>
      </c>
      <c r="Z92" s="3">
        <v>60000</v>
      </c>
      <c r="AA92" s="3">
        <v>60000</v>
      </c>
      <c r="AB92" s="5">
        <v>5000</v>
      </c>
      <c r="AC92" s="5">
        <v>1</v>
      </c>
      <c r="AD92" s="5">
        <v>7</v>
      </c>
      <c r="AE92" s="5">
        <v>5.0000000000000001E-3</v>
      </c>
      <c r="AF92" s="5">
        <v>5.0000000000000001E-3</v>
      </c>
      <c r="AG92" s="5">
        <v>200</v>
      </c>
      <c r="AH92" s="5">
        <v>-1.5</v>
      </c>
      <c r="AI92" s="5">
        <v>1.5</v>
      </c>
      <c r="AJ92" s="45" t="s">
        <v>1320</v>
      </c>
      <c r="AK92" s="45">
        <v>0</v>
      </c>
      <c r="AM92" s="23">
        <v>0</v>
      </c>
      <c r="AN92" s="23">
        <v>0</v>
      </c>
      <c r="AO92" s="23">
        <v>0</v>
      </c>
      <c r="AP92" s="23">
        <v>0</v>
      </c>
      <c r="AQ92" s="23">
        <v>0</v>
      </c>
      <c r="AR92" s="23">
        <v>0</v>
      </c>
      <c r="AS92" s="25">
        <v>0</v>
      </c>
      <c r="AT92" s="54">
        <v>0</v>
      </c>
      <c r="AU92" s="52">
        <v>0</v>
      </c>
      <c r="AV92" s="52">
        <v>0</v>
      </c>
      <c r="AW92" s="52">
        <v>0</v>
      </c>
      <c r="BI92" s="40" t="s">
        <v>1416</v>
      </c>
      <c r="BJ92" s="40">
        <v>0</v>
      </c>
    </row>
    <row r="93" spans="1:62" x14ac:dyDescent="0.25">
      <c r="A93" s="6">
        <v>68</v>
      </c>
      <c r="B93" s="6" t="s">
        <v>1705</v>
      </c>
      <c r="C93" s="6" t="s">
        <v>1229</v>
      </c>
      <c r="D93" s="6" t="s">
        <v>1226</v>
      </c>
      <c r="E93" s="6" t="s">
        <v>1227</v>
      </c>
      <c r="F93" s="6" t="s">
        <v>4</v>
      </c>
      <c r="G93" s="17">
        <v>43877.59542824074</v>
      </c>
      <c r="H93" s="21">
        <v>-7</v>
      </c>
      <c r="I93" s="4">
        <v>43877.303761574076</v>
      </c>
      <c r="J93" s="3">
        <v>0.1</v>
      </c>
      <c r="K93" s="3">
        <v>50</v>
      </c>
      <c r="L93" s="3">
        <f t="shared" si="3"/>
        <v>2.9875717017208414E-11</v>
      </c>
      <c r="M93" s="3">
        <v>282.5</v>
      </c>
      <c r="N93" s="3">
        <v>0</v>
      </c>
      <c r="O93" s="3" t="s">
        <v>1334</v>
      </c>
      <c r="P93" s="3">
        <v>34.772824</v>
      </c>
      <c r="Q93" s="3">
        <v>-112.717595</v>
      </c>
      <c r="R93" s="3">
        <v>11527</v>
      </c>
      <c r="S93" s="3">
        <v>11527</v>
      </c>
      <c r="T93" s="3">
        <v>80</v>
      </c>
      <c r="U93" s="3">
        <v>2</v>
      </c>
      <c r="V93" s="3">
        <v>11527</v>
      </c>
      <c r="W93" s="3" t="s">
        <v>144</v>
      </c>
      <c r="X93" s="3" t="s">
        <v>382</v>
      </c>
      <c r="Y93" s="3">
        <v>0</v>
      </c>
      <c r="Z93" s="3">
        <v>11527</v>
      </c>
      <c r="AA93" s="3">
        <v>11527</v>
      </c>
      <c r="AB93" s="5">
        <v>30</v>
      </c>
      <c r="AC93" s="5">
        <v>3</v>
      </c>
      <c r="AD93" s="5">
        <v>1</v>
      </c>
      <c r="AE93" s="5">
        <v>0</v>
      </c>
      <c r="AF93" s="5">
        <v>0</v>
      </c>
      <c r="AG93" s="5">
        <v>1150</v>
      </c>
      <c r="AH93" s="5">
        <v>-1.5</v>
      </c>
      <c r="AI93" s="5">
        <v>1.5</v>
      </c>
      <c r="AJ93" s="45" t="s">
        <v>1320</v>
      </c>
      <c r="AK93" s="45">
        <v>0</v>
      </c>
      <c r="AM93" s="23">
        <v>0</v>
      </c>
      <c r="AN93" s="23">
        <v>0</v>
      </c>
      <c r="AO93" s="23">
        <v>0</v>
      </c>
      <c r="AP93" s="23">
        <v>0</v>
      </c>
      <c r="AQ93" s="23">
        <v>0</v>
      </c>
      <c r="AR93" s="23">
        <v>0</v>
      </c>
      <c r="AS93" s="25">
        <v>0</v>
      </c>
      <c r="AT93" s="54">
        <v>0</v>
      </c>
      <c r="AU93" s="52">
        <v>0</v>
      </c>
      <c r="AV93" s="52">
        <v>0</v>
      </c>
      <c r="AW93" s="52">
        <v>0</v>
      </c>
      <c r="BI93" s="40" t="s">
        <v>1416</v>
      </c>
      <c r="BJ93" s="40">
        <v>0</v>
      </c>
    </row>
    <row r="94" spans="1:62" x14ac:dyDescent="0.25">
      <c r="A94" s="6">
        <v>68</v>
      </c>
      <c r="B94" s="6" t="s">
        <v>1705</v>
      </c>
      <c r="C94" s="6" t="s">
        <v>1230</v>
      </c>
      <c r="D94" s="6" t="s">
        <v>1226</v>
      </c>
      <c r="E94" s="6" t="s">
        <v>1227</v>
      </c>
      <c r="F94" s="6" t="s">
        <v>4</v>
      </c>
      <c r="G94" s="17">
        <v>43877.59542824074</v>
      </c>
      <c r="H94" s="21">
        <v>-7</v>
      </c>
      <c r="I94" s="4">
        <v>43877.303761574076</v>
      </c>
      <c r="J94" s="3">
        <v>0.1</v>
      </c>
      <c r="K94" s="3">
        <v>50</v>
      </c>
      <c r="L94" s="3">
        <v>4.5889101338432122E-9</v>
      </c>
      <c r="M94" s="3">
        <v>282.5</v>
      </c>
      <c r="N94" s="3">
        <v>0</v>
      </c>
      <c r="O94" s="3" t="s">
        <v>1334</v>
      </c>
      <c r="P94" s="3">
        <v>34.784137999999999</v>
      </c>
      <c r="Q94" s="3">
        <v>-112.640496</v>
      </c>
      <c r="R94" s="3">
        <v>13723</v>
      </c>
      <c r="S94" s="3">
        <v>13723</v>
      </c>
      <c r="T94" s="3">
        <v>50</v>
      </c>
      <c r="U94" s="3">
        <v>2</v>
      </c>
      <c r="V94" s="3">
        <v>13723</v>
      </c>
      <c r="W94" s="3" t="s">
        <v>144</v>
      </c>
      <c r="X94" s="3" t="s">
        <v>382</v>
      </c>
      <c r="Y94" s="3">
        <v>0</v>
      </c>
      <c r="Z94" s="3">
        <v>13723</v>
      </c>
      <c r="AA94" s="3">
        <v>13723</v>
      </c>
      <c r="AB94" s="5">
        <v>30</v>
      </c>
      <c r="AC94" s="5">
        <v>3</v>
      </c>
      <c r="AD94" s="5">
        <v>1</v>
      </c>
      <c r="AE94" s="5">
        <v>0</v>
      </c>
      <c r="AF94" s="5">
        <v>0</v>
      </c>
      <c r="AG94" s="5">
        <v>1150</v>
      </c>
      <c r="AH94" s="5">
        <v>-1.5</v>
      </c>
      <c r="AI94" s="5">
        <v>1.5</v>
      </c>
      <c r="AJ94" s="45" t="s">
        <v>1320</v>
      </c>
      <c r="AK94" s="45">
        <v>0</v>
      </c>
      <c r="AM94" s="23">
        <v>0</v>
      </c>
      <c r="AN94" s="23">
        <v>0</v>
      </c>
      <c r="AO94" s="23">
        <v>0</v>
      </c>
      <c r="AP94" s="23">
        <v>0</v>
      </c>
      <c r="AQ94" s="23">
        <v>0</v>
      </c>
      <c r="AR94" s="23">
        <v>0</v>
      </c>
      <c r="AS94" s="25">
        <v>0</v>
      </c>
      <c r="AT94" s="54">
        <v>0</v>
      </c>
      <c r="AU94" s="52">
        <v>0</v>
      </c>
      <c r="AV94" s="52">
        <v>0</v>
      </c>
      <c r="AW94" s="52">
        <v>0</v>
      </c>
      <c r="BI94" s="40" t="s">
        <v>1416</v>
      </c>
      <c r="BJ94" s="40">
        <v>0</v>
      </c>
    </row>
    <row r="95" spans="1:62" x14ac:dyDescent="0.25">
      <c r="A95" s="6">
        <v>71</v>
      </c>
      <c r="B95" s="6" t="s">
        <v>1706</v>
      </c>
      <c r="C95" s="6" t="s">
        <v>1260</v>
      </c>
      <c r="D95" s="6" t="s">
        <v>1260</v>
      </c>
      <c r="E95" s="6" t="s">
        <v>1261</v>
      </c>
      <c r="F95" s="6" t="s">
        <v>1262</v>
      </c>
      <c r="G95" s="17">
        <v>43882.3125</v>
      </c>
      <c r="H95" s="21">
        <v>-4</v>
      </c>
      <c r="I95" s="4">
        <f>G95+H95/24</f>
        <v>43882.145833333336</v>
      </c>
      <c r="J95" s="3">
        <v>500</v>
      </c>
      <c r="K95" s="3">
        <v>35000</v>
      </c>
      <c r="L95" s="3">
        <f>J95*K95^2/2/4.184/10^12</f>
        <v>7.3195506692160614E-2</v>
      </c>
      <c r="M95" s="3">
        <v>192</v>
      </c>
      <c r="N95" s="3">
        <v>13.5</v>
      </c>
      <c r="O95" s="3" t="s">
        <v>1334</v>
      </c>
      <c r="P95" s="3">
        <v>18.423999999999999</v>
      </c>
      <c r="Q95" s="3">
        <v>-69</v>
      </c>
      <c r="R95" s="3">
        <v>22500</v>
      </c>
      <c r="S95" s="3">
        <v>22500</v>
      </c>
      <c r="T95" s="3">
        <v>22500</v>
      </c>
      <c r="U95" s="3">
        <v>13.5</v>
      </c>
      <c r="V95" s="3">
        <v>15000</v>
      </c>
      <c r="W95" s="3" t="s">
        <v>144</v>
      </c>
      <c r="X95" s="3" t="s">
        <v>382</v>
      </c>
      <c r="Y95" s="3">
        <v>0</v>
      </c>
      <c r="Z95" s="3">
        <v>50000</v>
      </c>
      <c r="AA95" s="3">
        <v>50000</v>
      </c>
      <c r="AB95" s="5">
        <v>5000</v>
      </c>
      <c r="AC95" s="5">
        <v>5</v>
      </c>
      <c r="AD95" s="5">
        <v>4</v>
      </c>
      <c r="AE95" s="5">
        <v>2E-3</v>
      </c>
      <c r="AF95" s="5">
        <v>2E-3</v>
      </c>
      <c r="AG95" s="5">
        <v>5000</v>
      </c>
      <c r="AH95" s="5">
        <v>-1.5</v>
      </c>
      <c r="AI95" s="5">
        <v>1.5</v>
      </c>
      <c r="AJ95" s="45" t="s">
        <v>1320</v>
      </c>
      <c r="AK95" s="45">
        <v>0</v>
      </c>
      <c r="AM95" s="23">
        <v>0</v>
      </c>
      <c r="AN95" s="23">
        <v>0</v>
      </c>
      <c r="AO95" s="23">
        <v>0</v>
      </c>
      <c r="AP95" s="23">
        <v>0</v>
      </c>
      <c r="AQ95" s="23">
        <v>0</v>
      </c>
      <c r="AR95" s="23">
        <v>0</v>
      </c>
      <c r="AS95" s="25">
        <v>0</v>
      </c>
      <c r="AT95" s="54">
        <v>0</v>
      </c>
      <c r="AU95" s="52">
        <v>0</v>
      </c>
      <c r="AV95" s="52">
        <v>0</v>
      </c>
      <c r="AW95" s="52">
        <v>0</v>
      </c>
      <c r="BI95" s="40" t="s">
        <v>1416</v>
      </c>
      <c r="BJ95" s="40">
        <v>0</v>
      </c>
    </row>
    <row r="96" spans="1:62" x14ac:dyDescent="0.25">
      <c r="A96" s="6">
        <v>72</v>
      </c>
      <c r="B96" s="6" t="s">
        <v>1707</v>
      </c>
      <c r="C96" s="6" t="s">
        <v>1264</v>
      </c>
      <c r="D96" s="6" t="s">
        <v>1264</v>
      </c>
      <c r="E96" s="6" t="s">
        <v>1263</v>
      </c>
      <c r="F96" s="6" t="s">
        <v>1007</v>
      </c>
      <c r="G96" s="17">
        <v>43889.396226851852</v>
      </c>
      <c r="H96" s="21">
        <v>1</v>
      </c>
      <c r="I96" s="4">
        <f>G96+H96/24</f>
        <v>43889.437893518516</v>
      </c>
      <c r="J96" s="3">
        <v>6141</v>
      </c>
      <c r="K96" s="3">
        <v>21530</v>
      </c>
      <c r="L96" s="3">
        <f>J96*K96^2/2/4.184/10^12</f>
        <v>0.34017742195267686</v>
      </c>
      <c r="M96" s="3">
        <v>339</v>
      </c>
      <c r="N96" s="3">
        <v>41.86</v>
      </c>
      <c r="O96" s="3" t="s">
        <v>1334</v>
      </c>
      <c r="P96" s="3">
        <v>45.821150000000003</v>
      </c>
      <c r="Q96" s="3">
        <v>15.09</v>
      </c>
      <c r="R96" s="3">
        <v>24350</v>
      </c>
      <c r="S96" s="3">
        <v>24350</v>
      </c>
      <c r="T96" s="3">
        <v>21530</v>
      </c>
      <c r="U96" s="3">
        <v>42.465000000000003</v>
      </c>
      <c r="V96" s="3">
        <v>24000</v>
      </c>
      <c r="W96" s="3" t="s">
        <v>81</v>
      </c>
      <c r="X96" s="3" t="s">
        <v>382</v>
      </c>
      <c r="Y96" s="3">
        <v>0</v>
      </c>
      <c r="Z96" s="3">
        <v>50000</v>
      </c>
      <c r="AA96" s="3">
        <v>50000</v>
      </c>
      <c r="AB96" s="5">
        <v>2000</v>
      </c>
      <c r="AC96" s="5">
        <v>1</v>
      </c>
      <c r="AD96" s="5">
        <v>0.04</v>
      </c>
      <c r="AE96" s="5">
        <v>3.949999999999676E-3</v>
      </c>
      <c r="AF96" s="5">
        <f>15.09-15.083</f>
        <v>6.9999999999996732E-3</v>
      </c>
      <c r="AG96" s="5">
        <v>2000</v>
      </c>
      <c r="AH96" s="5">
        <v>-1.5</v>
      </c>
      <c r="AI96" s="5">
        <v>1.5</v>
      </c>
      <c r="AJ96" s="45" t="s">
        <v>1320</v>
      </c>
      <c r="AK96" s="45">
        <v>0</v>
      </c>
      <c r="AM96" s="23">
        <v>0</v>
      </c>
      <c r="AN96" s="23">
        <v>0</v>
      </c>
      <c r="AO96" s="23">
        <v>0</v>
      </c>
      <c r="AP96" s="23">
        <v>0</v>
      </c>
      <c r="AQ96" s="23">
        <v>0</v>
      </c>
      <c r="AR96" s="23">
        <v>0</v>
      </c>
      <c r="AS96" s="25">
        <v>0</v>
      </c>
      <c r="AT96" s="54">
        <v>0</v>
      </c>
      <c r="AU96" s="52">
        <v>0</v>
      </c>
      <c r="AV96" s="52">
        <v>0</v>
      </c>
      <c r="AW96" s="52">
        <v>0</v>
      </c>
      <c r="BI96" s="40" t="s">
        <v>1416</v>
      </c>
      <c r="BJ96" s="40">
        <v>0</v>
      </c>
    </row>
    <row r="97" spans="1:62" x14ac:dyDescent="0.25">
      <c r="A97" s="6">
        <v>72</v>
      </c>
      <c r="B97" s="6" t="s">
        <v>1707</v>
      </c>
      <c r="C97" s="6" t="s">
        <v>1310</v>
      </c>
      <c r="D97" s="6" t="s">
        <v>1264</v>
      </c>
      <c r="E97" s="6" t="s">
        <v>1263</v>
      </c>
      <c r="F97" s="6" t="s">
        <v>1007</v>
      </c>
      <c r="G97" s="17">
        <v>43889.396226851852</v>
      </c>
      <c r="H97" s="21">
        <v>1</v>
      </c>
      <c r="I97" s="4">
        <f>G97+H97/24</f>
        <v>43889.437893518516</v>
      </c>
      <c r="J97" s="3">
        <v>6141</v>
      </c>
      <c r="K97" s="3">
        <v>21530</v>
      </c>
      <c r="L97" s="3">
        <f>J97*K97^2/2/4.184/10^12</f>
        <v>0.34017742195267686</v>
      </c>
      <c r="M97" s="3">
        <v>335</v>
      </c>
      <c r="N97" s="3">
        <v>41.86</v>
      </c>
      <c r="O97" s="3" t="s">
        <v>1334</v>
      </c>
      <c r="P97" s="3">
        <v>45.821150000000003</v>
      </c>
      <c r="Q97" s="3">
        <v>15.09</v>
      </c>
      <c r="R97" s="3">
        <v>24350</v>
      </c>
      <c r="S97" s="3">
        <v>24350</v>
      </c>
      <c r="T97" s="3">
        <v>21530</v>
      </c>
      <c r="U97" s="3">
        <v>42.465000000000003</v>
      </c>
      <c r="V97" s="3">
        <v>24000</v>
      </c>
      <c r="W97" s="3" t="s">
        <v>81</v>
      </c>
      <c r="X97" s="3" t="s">
        <v>382</v>
      </c>
      <c r="Y97" s="3">
        <v>0</v>
      </c>
      <c r="Z97" s="3">
        <v>50000</v>
      </c>
      <c r="AA97" s="3">
        <v>50000</v>
      </c>
      <c r="AB97" s="5">
        <v>2000</v>
      </c>
      <c r="AC97" s="5">
        <v>1</v>
      </c>
      <c r="AD97" s="5">
        <v>0.04</v>
      </c>
      <c r="AE97" s="5">
        <v>3.949999999999676E-3</v>
      </c>
      <c r="AF97" s="5">
        <f>15.09-15.083</f>
        <v>6.9999999999996732E-3</v>
      </c>
      <c r="AG97" s="5">
        <v>2000</v>
      </c>
      <c r="AH97" s="5">
        <v>-1.5</v>
      </c>
      <c r="AI97" s="5">
        <v>1.5</v>
      </c>
      <c r="AJ97" s="45" t="s">
        <v>1320</v>
      </c>
      <c r="AK97" s="45">
        <v>0</v>
      </c>
      <c r="AM97" s="23">
        <v>0</v>
      </c>
      <c r="AN97" s="23">
        <v>0</v>
      </c>
      <c r="AO97" s="23">
        <v>0</v>
      </c>
      <c r="AP97" s="23">
        <v>0</v>
      </c>
      <c r="AQ97" s="23">
        <v>0</v>
      </c>
      <c r="AR97" s="23">
        <v>0</v>
      </c>
      <c r="AS97" s="25">
        <v>0</v>
      </c>
      <c r="AT97" s="54">
        <v>0</v>
      </c>
      <c r="AU97" s="52">
        <v>0</v>
      </c>
      <c r="AV97" s="52">
        <v>0</v>
      </c>
      <c r="AW97" s="52">
        <v>0</v>
      </c>
      <c r="BI97" s="40" t="s">
        <v>1416</v>
      </c>
      <c r="BJ97" s="40">
        <v>0</v>
      </c>
    </row>
    <row r="98" spans="1:62" x14ac:dyDescent="0.25">
      <c r="A98" s="6">
        <v>106</v>
      </c>
      <c r="B98" s="6" t="s">
        <v>1737</v>
      </c>
      <c r="C98" s="6" t="s">
        <v>1394</v>
      </c>
      <c r="D98" s="6" t="s">
        <v>1394</v>
      </c>
      <c r="E98" s="6" t="s">
        <v>1394</v>
      </c>
      <c r="F98" s="6" t="s">
        <v>142</v>
      </c>
      <c r="G98" s="17">
        <v>43892.984027777777</v>
      </c>
      <c r="H98" s="21">
        <v>1</v>
      </c>
      <c r="I98" s="4">
        <f>G98+H98/24</f>
        <v>43893.025694444441</v>
      </c>
      <c r="J98" s="3">
        <v>10</v>
      </c>
      <c r="K98" s="3">
        <v>15000</v>
      </c>
      <c r="L98" s="3">
        <f>J98*K98^2/2/4.184/10^12</f>
        <v>2.6888145315487571E-4</v>
      </c>
      <c r="M98" s="3">
        <v>158.69999999999999</v>
      </c>
      <c r="N98" s="3">
        <v>38</v>
      </c>
      <c r="O98" s="3" t="s">
        <v>1334</v>
      </c>
      <c r="P98" s="3">
        <v>51.65</v>
      </c>
      <c r="Q98" s="3">
        <v>6.7</v>
      </c>
      <c r="R98" s="3">
        <v>27000</v>
      </c>
      <c r="S98" s="3">
        <v>27000</v>
      </c>
      <c r="T98" s="3">
        <v>15000</v>
      </c>
      <c r="U98" s="3">
        <v>38</v>
      </c>
      <c r="V98" s="3">
        <v>25000</v>
      </c>
      <c r="W98" s="3" t="s">
        <v>144</v>
      </c>
      <c r="X98" s="3" t="s">
        <v>382</v>
      </c>
      <c r="Y98" s="3">
        <v>0</v>
      </c>
      <c r="Z98" s="3">
        <v>60000</v>
      </c>
      <c r="AA98" s="3">
        <v>60000</v>
      </c>
      <c r="AB98" s="5">
        <v>1000</v>
      </c>
      <c r="AC98" s="5">
        <v>2</v>
      </c>
      <c r="AD98" s="5">
        <v>2</v>
      </c>
      <c r="AE98" s="5">
        <v>0.05</v>
      </c>
      <c r="AF98" s="5">
        <v>0.05</v>
      </c>
      <c r="AG98" s="5">
        <v>1000</v>
      </c>
      <c r="AH98" s="5">
        <v>-1.5</v>
      </c>
      <c r="AI98" s="5">
        <v>1.5</v>
      </c>
      <c r="AJ98" s="45">
        <v>0</v>
      </c>
      <c r="AK98" s="45">
        <v>0</v>
      </c>
      <c r="AL98" s="45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3">
        <v>0</v>
      </c>
      <c r="AS98" s="25">
        <v>0</v>
      </c>
      <c r="AT98" s="54">
        <v>0</v>
      </c>
      <c r="AU98" s="52">
        <v>0</v>
      </c>
      <c r="AV98" s="52">
        <v>0</v>
      </c>
      <c r="AW98" s="52">
        <v>0</v>
      </c>
      <c r="AX98" s="38">
        <v>0</v>
      </c>
      <c r="AY98" s="38">
        <v>0</v>
      </c>
      <c r="AZ98" s="38">
        <v>0</v>
      </c>
      <c r="BA98" s="38">
        <v>0</v>
      </c>
      <c r="BB98" s="38">
        <v>0</v>
      </c>
      <c r="BC98" s="38">
        <v>0</v>
      </c>
      <c r="BD98" s="38">
        <v>0</v>
      </c>
      <c r="BE98" s="38">
        <v>0</v>
      </c>
      <c r="BF98" s="38">
        <v>0</v>
      </c>
      <c r="BG98" s="38">
        <v>0</v>
      </c>
      <c r="BH98" s="40">
        <v>1</v>
      </c>
      <c r="BI98" s="40" t="s">
        <v>1416</v>
      </c>
      <c r="BJ98" s="40">
        <v>1</v>
      </c>
    </row>
    <row r="99" spans="1:62" x14ac:dyDescent="0.25">
      <c r="A99" s="6">
        <v>73</v>
      </c>
      <c r="B99" s="6" t="s">
        <v>1708</v>
      </c>
      <c r="C99" s="6" t="s">
        <v>1319</v>
      </c>
      <c r="D99" s="6" t="s">
        <v>1319</v>
      </c>
      <c r="E99" s="6" t="s">
        <v>1321</v>
      </c>
      <c r="F99" s="6" t="s">
        <v>450</v>
      </c>
      <c r="G99" s="17">
        <v>43927.564930555556</v>
      </c>
      <c r="H99" s="21">
        <v>2</v>
      </c>
      <c r="I99" s="4">
        <f>G99+H99/24</f>
        <v>43927.648263888892</v>
      </c>
      <c r="J99" s="3">
        <v>1500</v>
      </c>
      <c r="K99" s="3">
        <v>17000</v>
      </c>
      <c r="L99" s="3">
        <f>J99*K99^2/2/4.184/10^12</f>
        <v>5.1804493307839386E-2</v>
      </c>
      <c r="M99" s="3">
        <v>48</v>
      </c>
      <c r="N99" s="3">
        <v>55</v>
      </c>
      <c r="O99" s="3" t="s">
        <v>1334</v>
      </c>
      <c r="P99" s="3">
        <v>47.548974000000001</v>
      </c>
      <c r="Q99" s="3">
        <v>12.920945</v>
      </c>
      <c r="R99" s="3">
        <v>33000</v>
      </c>
      <c r="S99" s="3">
        <v>33000</v>
      </c>
      <c r="T99" s="3">
        <f>K99</f>
        <v>17000</v>
      </c>
      <c r="U99" s="3">
        <f>N99</f>
        <v>55</v>
      </c>
      <c r="V99" s="3">
        <v>32000</v>
      </c>
      <c r="W99" s="3" t="s">
        <v>144</v>
      </c>
      <c r="X99" s="3" t="s">
        <v>382</v>
      </c>
      <c r="Y99" s="3">
        <v>0</v>
      </c>
      <c r="Z99" s="3">
        <v>60000</v>
      </c>
      <c r="AA99" s="3">
        <v>60000</v>
      </c>
      <c r="AB99" s="5">
        <v>2000</v>
      </c>
      <c r="AC99" s="5">
        <v>2.5</v>
      </c>
      <c r="AD99" s="5">
        <v>10</v>
      </c>
      <c r="AE99" s="5">
        <v>0.02</v>
      </c>
      <c r="AF99" s="5">
        <v>4.4999999999999998E-2</v>
      </c>
      <c r="AG99" s="5">
        <v>1000</v>
      </c>
      <c r="AH99" s="5">
        <v>-1.5</v>
      </c>
      <c r="AI99" s="5">
        <v>1.5</v>
      </c>
      <c r="AJ99" s="45" t="s">
        <v>1320</v>
      </c>
      <c r="AK99" s="45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5">
        <v>0</v>
      </c>
      <c r="AT99" s="54">
        <v>0</v>
      </c>
      <c r="AU99" s="52">
        <v>0</v>
      </c>
      <c r="AV99" s="52">
        <v>0</v>
      </c>
      <c r="AW99" s="52">
        <v>0</v>
      </c>
      <c r="BH99" s="40">
        <v>3</v>
      </c>
      <c r="BI99" s="40" t="s">
        <v>1416</v>
      </c>
      <c r="BJ99" s="40">
        <v>0</v>
      </c>
    </row>
    <row r="100" spans="1:62" x14ac:dyDescent="0.25">
      <c r="A100" s="6">
        <v>76</v>
      </c>
      <c r="B100" s="6" t="s">
        <v>1711</v>
      </c>
      <c r="C100" s="6" t="s">
        <v>1328</v>
      </c>
      <c r="D100" s="6" t="s">
        <v>1329</v>
      </c>
      <c r="E100" s="6" t="s">
        <v>1330</v>
      </c>
      <c r="F100" s="6" t="s">
        <v>749</v>
      </c>
      <c r="G100" s="17">
        <v>43945.708333333336</v>
      </c>
      <c r="H100" s="21">
        <v>3</v>
      </c>
      <c r="I100" s="4">
        <v>43945.833333333336</v>
      </c>
      <c r="J100" s="3">
        <v>100</v>
      </c>
      <c r="K100" s="3">
        <v>20000</v>
      </c>
      <c r="L100" s="3">
        <v>3.8240917782026762E-2</v>
      </c>
      <c r="M100" s="3">
        <v>18</v>
      </c>
      <c r="N100" s="3">
        <v>40</v>
      </c>
      <c r="O100" s="3" t="s">
        <v>1331</v>
      </c>
      <c r="P100" s="3">
        <v>-0.61</v>
      </c>
      <c r="Q100" s="3">
        <v>37.26</v>
      </c>
      <c r="R100" s="3">
        <v>0</v>
      </c>
      <c r="S100" s="3">
        <v>20000</v>
      </c>
      <c r="T100" s="3">
        <v>300</v>
      </c>
      <c r="U100" s="3">
        <v>0</v>
      </c>
      <c r="V100" s="3">
        <v>15000</v>
      </c>
      <c r="W100" s="3" t="s">
        <v>81</v>
      </c>
      <c r="X100" s="3" t="s">
        <v>382</v>
      </c>
      <c r="Y100" s="3">
        <v>0</v>
      </c>
      <c r="Z100" s="3">
        <v>60000</v>
      </c>
      <c r="AA100" s="3">
        <v>60000</v>
      </c>
      <c r="AB100" s="5">
        <v>5000</v>
      </c>
      <c r="AC100" s="5">
        <v>3</v>
      </c>
      <c r="AD100" s="5">
        <v>10</v>
      </c>
      <c r="AE100" s="5">
        <v>5.0000000000000001E-3</v>
      </c>
      <c r="AF100" s="5">
        <v>5.0000000000000001E-3</v>
      </c>
      <c r="AG100" s="5">
        <v>0</v>
      </c>
      <c r="AH100" s="5">
        <v>-1.5</v>
      </c>
      <c r="AI100" s="5">
        <v>1.5</v>
      </c>
      <c r="AJ100" s="45">
        <v>0</v>
      </c>
      <c r="AK100" s="45">
        <v>0</v>
      </c>
      <c r="AL100" s="45">
        <v>0</v>
      </c>
      <c r="AM100" s="23">
        <v>0</v>
      </c>
      <c r="AN100" s="23">
        <v>0</v>
      </c>
      <c r="AO100" s="23">
        <v>0</v>
      </c>
      <c r="AP100" s="23">
        <v>0</v>
      </c>
      <c r="AQ100" s="23">
        <v>0</v>
      </c>
      <c r="AR100" s="23">
        <v>0</v>
      </c>
      <c r="AS100" s="25">
        <v>0</v>
      </c>
      <c r="AT100" s="54">
        <v>0</v>
      </c>
      <c r="AU100" s="52">
        <v>0</v>
      </c>
      <c r="AV100" s="52">
        <v>0</v>
      </c>
      <c r="AW100" s="52">
        <v>0</v>
      </c>
      <c r="AX100" s="38">
        <v>0</v>
      </c>
      <c r="AY100" s="38">
        <v>0</v>
      </c>
      <c r="AZ100" s="38">
        <v>0</v>
      </c>
      <c r="BA100" s="38">
        <v>0</v>
      </c>
      <c r="BB100" s="38">
        <v>0</v>
      </c>
      <c r="BC100" s="38">
        <v>0</v>
      </c>
      <c r="BD100" s="38">
        <v>0</v>
      </c>
      <c r="BE100" s="38">
        <v>0</v>
      </c>
      <c r="BF100" s="38">
        <v>0</v>
      </c>
      <c r="BG100" s="38">
        <v>0</v>
      </c>
      <c r="BH100" s="40">
        <v>0</v>
      </c>
      <c r="BI100" s="40" t="s">
        <v>1416</v>
      </c>
      <c r="BJ100" s="40">
        <v>0</v>
      </c>
    </row>
    <row r="101" spans="1:62" x14ac:dyDescent="0.25">
      <c r="A101" s="6">
        <v>77</v>
      </c>
      <c r="B101" s="6" t="s">
        <v>1712</v>
      </c>
      <c r="C101" s="6" t="s">
        <v>1332</v>
      </c>
      <c r="D101" s="6" t="s">
        <v>1333</v>
      </c>
      <c r="E101" s="6" t="s">
        <v>1332</v>
      </c>
      <c r="F101" s="6" t="s">
        <v>71</v>
      </c>
      <c r="G101" s="17">
        <v>43959.267534722225</v>
      </c>
      <c r="H101" s="21">
        <v>-3</v>
      </c>
      <c r="I101" s="4">
        <f t="shared" ref="I101:I132" si="4">G101+H101/24</f>
        <v>43959.142534722225</v>
      </c>
      <c r="J101" s="3">
        <v>100</v>
      </c>
      <c r="K101" s="3">
        <v>15000</v>
      </c>
      <c r="L101" s="3">
        <f>J101*K101^2/2/4.184/10^12</f>
        <v>2.6888145315487571E-3</v>
      </c>
      <c r="M101" s="3">
        <v>53.6</v>
      </c>
      <c r="N101" s="3">
        <v>70</v>
      </c>
      <c r="O101" s="3" t="s">
        <v>1334</v>
      </c>
      <c r="P101" s="3">
        <v>-18.879745</v>
      </c>
      <c r="Q101" s="3">
        <v>-46.146782000000002</v>
      </c>
      <c r="R101" s="3">
        <v>30860</v>
      </c>
      <c r="S101" s="3">
        <v>30860</v>
      </c>
      <c r="T101" s="3">
        <v>15000</v>
      </c>
      <c r="U101" s="3">
        <v>70</v>
      </c>
      <c r="V101" s="3">
        <v>30860</v>
      </c>
      <c r="W101" s="3" t="s">
        <v>144</v>
      </c>
      <c r="X101" s="3" t="s">
        <v>382</v>
      </c>
      <c r="Y101" s="3">
        <v>0</v>
      </c>
      <c r="Z101" s="3">
        <v>60000</v>
      </c>
      <c r="AA101" s="3">
        <v>60000</v>
      </c>
      <c r="AB101" s="5">
        <v>2000</v>
      </c>
      <c r="AC101" s="5">
        <v>3</v>
      </c>
      <c r="AD101" s="5">
        <v>10</v>
      </c>
      <c r="AE101" s="5">
        <v>5.0000000000000001E-3</v>
      </c>
      <c r="AF101" s="5">
        <v>5.0000000000000001E-3</v>
      </c>
      <c r="AG101" s="5">
        <v>1000</v>
      </c>
      <c r="AH101" s="5">
        <v>-1.5</v>
      </c>
      <c r="AI101" s="5">
        <v>1.5</v>
      </c>
      <c r="AJ101" s="45">
        <v>0</v>
      </c>
      <c r="AK101" s="45">
        <v>0</v>
      </c>
      <c r="AL101" s="45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3">
        <v>0</v>
      </c>
      <c r="AS101" s="25">
        <v>0</v>
      </c>
      <c r="AT101" s="54">
        <v>0</v>
      </c>
      <c r="AU101" s="52">
        <v>0</v>
      </c>
      <c r="AV101" s="52">
        <v>0</v>
      </c>
      <c r="AW101" s="52">
        <v>0</v>
      </c>
      <c r="AX101" s="38">
        <v>0</v>
      </c>
      <c r="AY101" s="38">
        <v>0</v>
      </c>
      <c r="AZ101" s="38">
        <v>0</v>
      </c>
      <c r="BA101" s="38">
        <v>0</v>
      </c>
      <c r="BB101" s="38">
        <v>0</v>
      </c>
      <c r="BC101" s="38">
        <v>0</v>
      </c>
      <c r="BD101" s="38">
        <v>0</v>
      </c>
      <c r="BE101" s="38">
        <v>0</v>
      </c>
      <c r="BF101" s="38">
        <v>0</v>
      </c>
      <c r="BG101" s="38">
        <v>0</v>
      </c>
      <c r="BH101" s="40">
        <v>3</v>
      </c>
      <c r="BI101" s="40" t="s">
        <v>1416</v>
      </c>
      <c r="BJ101" s="40">
        <v>0</v>
      </c>
    </row>
    <row r="102" spans="1:62" x14ac:dyDescent="0.25">
      <c r="A102" s="6">
        <v>79</v>
      </c>
      <c r="B102" s="6" t="s">
        <v>1713</v>
      </c>
      <c r="C102" s="6" t="s">
        <v>1338</v>
      </c>
      <c r="D102" s="6" t="s">
        <v>1338</v>
      </c>
      <c r="E102" s="6" t="s">
        <v>1337</v>
      </c>
      <c r="F102" s="6" t="s">
        <v>391</v>
      </c>
      <c r="G102" s="17">
        <v>43978.729328703703</v>
      </c>
      <c r="H102" s="21">
        <v>3</v>
      </c>
      <c r="I102" s="4">
        <f t="shared" si="4"/>
        <v>43978.854328703703</v>
      </c>
      <c r="J102" s="3">
        <v>6799</v>
      </c>
      <c r="K102" s="3">
        <v>14880</v>
      </c>
      <c r="L102" s="3">
        <v>0.17989920000000001</v>
      </c>
      <c r="M102" s="3">
        <v>209.3</v>
      </c>
      <c r="N102" s="3">
        <v>11.6</v>
      </c>
      <c r="O102" s="3" t="s">
        <v>1270</v>
      </c>
      <c r="P102" s="3">
        <v>40.801499999999997</v>
      </c>
      <c r="Q102" s="3">
        <v>41.764000000000003</v>
      </c>
      <c r="R102" s="3">
        <v>26805</v>
      </c>
      <c r="S102" s="3">
        <v>26805</v>
      </c>
      <c r="T102" s="3">
        <v>14880</v>
      </c>
      <c r="U102" s="3">
        <v>11.6</v>
      </c>
      <c r="V102" s="3">
        <v>25000</v>
      </c>
      <c r="W102" s="3" t="s">
        <v>144</v>
      </c>
      <c r="X102" s="3" t="s">
        <v>382</v>
      </c>
      <c r="Y102" s="3">
        <v>0</v>
      </c>
      <c r="Z102" s="3">
        <v>60000</v>
      </c>
      <c r="AA102" s="3">
        <v>60000</v>
      </c>
      <c r="AB102" s="5">
        <v>500</v>
      </c>
      <c r="AC102" s="5">
        <v>4</v>
      </c>
      <c r="AD102" s="5">
        <v>4</v>
      </c>
      <c r="AE102" s="5">
        <v>3.3500000000000002E-2</v>
      </c>
      <c r="AF102" s="5">
        <v>0.03</v>
      </c>
      <c r="AG102" s="5">
        <v>500</v>
      </c>
      <c r="AH102" s="5">
        <v>-1.5</v>
      </c>
      <c r="AI102" s="5">
        <v>1.5</v>
      </c>
      <c r="AJ102" s="45">
        <v>0</v>
      </c>
      <c r="AK102" s="45">
        <v>0</v>
      </c>
      <c r="AL102" s="45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3">
        <v>0</v>
      </c>
      <c r="AS102" s="25">
        <v>0</v>
      </c>
      <c r="AT102" s="54">
        <v>0</v>
      </c>
      <c r="AU102" s="52">
        <v>0</v>
      </c>
      <c r="AV102" s="52">
        <v>0</v>
      </c>
      <c r="AW102" s="52">
        <v>0</v>
      </c>
      <c r="AX102" s="38">
        <v>0</v>
      </c>
      <c r="AY102" s="38">
        <v>0</v>
      </c>
      <c r="AZ102" s="38">
        <v>0</v>
      </c>
      <c r="BA102" s="38">
        <v>0</v>
      </c>
      <c r="BB102" s="38">
        <v>0</v>
      </c>
      <c r="BC102" s="38">
        <v>0</v>
      </c>
      <c r="BD102" s="38">
        <v>0</v>
      </c>
      <c r="BE102" s="38">
        <v>0</v>
      </c>
      <c r="BF102" s="38">
        <v>0</v>
      </c>
      <c r="BG102" s="38">
        <v>0</v>
      </c>
      <c r="BH102" s="40">
        <v>2</v>
      </c>
      <c r="BI102" s="40" t="s">
        <v>1416</v>
      </c>
      <c r="BJ102" s="40">
        <v>0</v>
      </c>
    </row>
    <row r="103" spans="1:62" x14ac:dyDescent="0.25">
      <c r="A103" s="6">
        <v>166</v>
      </c>
      <c r="B103" s="6" t="s">
        <v>1791</v>
      </c>
      <c r="C103" s="6" t="s">
        <v>1565</v>
      </c>
      <c r="D103" s="6" t="s">
        <v>1585</v>
      </c>
      <c r="E103" s="6" t="s">
        <v>1583</v>
      </c>
      <c r="F103" s="6" t="s">
        <v>100</v>
      </c>
      <c r="G103" s="17">
        <v>44001.836886574078</v>
      </c>
      <c r="H103" s="21">
        <v>8</v>
      </c>
      <c r="I103" s="4">
        <f t="shared" si="4"/>
        <v>44002.170219907413</v>
      </c>
      <c r="J103" s="3">
        <v>45</v>
      </c>
      <c r="P103" s="3">
        <v>-31.96557</v>
      </c>
      <c r="Q103" s="3">
        <v>126.98438</v>
      </c>
      <c r="W103" s="3" t="s">
        <v>115</v>
      </c>
      <c r="X103" s="3" t="s">
        <v>244</v>
      </c>
      <c r="AH103" s="5">
        <v>-1.5</v>
      </c>
      <c r="AI103" s="5">
        <v>1.5</v>
      </c>
      <c r="AJ103" s="45">
        <v>0</v>
      </c>
      <c r="AK103" s="45">
        <v>0</v>
      </c>
      <c r="AL103" s="45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3">
        <v>0</v>
      </c>
      <c r="AS103" s="25">
        <v>0</v>
      </c>
      <c r="AT103" s="54">
        <v>0</v>
      </c>
      <c r="AU103" s="52">
        <v>0</v>
      </c>
      <c r="AV103" s="52">
        <v>0</v>
      </c>
      <c r="AW103" s="52">
        <v>0</v>
      </c>
      <c r="AX103" s="38">
        <v>0</v>
      </c>
      <c r="AY103" s="38">
        <v>139</v>
      </c>
      <c r="AZ103" s="38">
        <v>0</v>
      </c>
      <c r="BA103" s="38">
        <v>0</v>
      </c>
      <c r="BB103" s="38">
        <v>0</v>
      </c>
      <c r="BC103" s="38">
        <v>0</v>
      </c>
      <c r="BD103" s="38">
        <v>138</v>
      </c>
      <c r="BE103" s="38">
        <v>0</v>
      </c>
      <c r="BF103" s="38">
        <v>0</v>
      </c>
      <c r="BG103" s="38">
        <v>0</v>
      </c>
      <c r="BH103" s="40">
        <v>0</v>
      </c>
      <c r="BI103" s="40" t="s">
        <v>1416</v>
      </c>
      <c r="BJ103" s="40">
        <v>0</v>
      </c>
    </row>
    <row r="104" spans="1:62" x14ac:dyDescent="0.25">
      <c r="A104" s="6">
        <v>80</v>
      </c>
      <c r="B104" s="6" t="s">
        <v>1714</v>
      </c>
      <c r="C104" s="6" t="s">
        <v>1340</v>
      </c>
      <c r="D104" s="6" t="s">
        <v>1340</v>
      </c>
      <c r="E104" s="6" t="s">
        <v>1339</v>
      </c>
      <c r="F104" s="6" t="s">
        <v>737</v>
      </c>
      <c r="G104" s="17">
        <v>44013.730590277781</v>
      </c>
      <c r="H104" s="21">
        <v>9</v>
      </c>
      <c r="I104" s="4">
        <f t="shared" si="4"/>
        <v>44014.105590277781</v>
      </c>
      <c r="J104" s="3">
        <v>6400</v>
      </c>
      <c r="K104" s="3">
        <v>14646</v>
      </c>
      <c r="L104" s="3">
        <f t="shared" ref="L104:L112" si="5">J104*K104^2/2/4.184/10^12</f>
        <v>0.16405760305927342</v>
      </c>
      <c r="M104" s="3">
        <v>66.900000000000006</v>
      </c>
      <c r="N104" s="3">
        <v>53.652999999999999</v>
      </c>
      <c r="O104" s="3" t="s">
        <v>1334</v>
      </c>
      <c r="P104" s="3">
        <v>35.627000000000002</v>
      </c>
      <c r="Q104" s="3">
        <v>139.93600000000001</v>
      </c>
      <c r="R104" s="3">
        <v>22000</v>
      </c>
      <c r="S104" s="3">
        <v>22000</v>
      </c>
      <c r="T104" s="3">
        <v>14646</v>
      </c>
      <c r="U104" s="3">
        <f>90-38.135</f>
        <v>51.865000000000002</v>
      </c>
      <c r="V104" s="3">
        <v>22000</v>
      </c>
      <c r="W104" s="3" t="s">
        <v>81</v>
      </c>
      <c r="X104" s="3" t="s">
        <v>382</v>
      </c>
      <c r="Y104" s="3">
        <v>0</v>
      </c>
      <c r="Z104" s="3">
        <v>60000</v>
      </c>
      <c r="AA104" s="3">
        <v>60000</v>
      </c>
      <c r="AB104" s="5">
        <v>500</v>
      </c>
      <c r="AC104" s="5">
        <v>1</v>
      </c>
      <c r="AD104" s="5">
        <v>3</v>
      </c>
      <c r="AE104" s="5">
        <v>5.0000000000000001E-3</v>
      </c>
      <c r="AF104" s="5">
        <v>5.0000000000000001E-3</v>
      </c>
      <c r="AG104" s="5">
        <v>500</v>
      </c>
      <c r="AH104" s="5">
        <v>-1.5</v>
      </c>
      <c r="AI104" s="5">
        <v>1.5</v>
      </c>
      <c r="AJ104" s="45">
        <v>0</v>
      </c>
      <c r="AK104" s="45">
        <v>0</v>
      </c>
      <c r="AL104" s="45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3">
        <v>0</v>
      </c>
      <c r="AS104" s="25">
        <v>0</v>
      </c>
      <c r="AT104" s="54">
        <v>0</v>
      </c>
      <c r="AU104" s="52">
        <v>0</v>
      </c>
      <c r="AV104" s="52">
        <v>0</v>
      </c>
      <c r="AW104" s="52">
        <v>0</v>
      </c>
      <c r="AX104" s="38">
        <v>0</v>
      </c>
      <c r="AY104" s="38">
        <v>0</v>
      </c>
      <c r="AZ104" s="38">
        <v>0</v>
      </c>
      <c r="BA104" s="38">
        <v>0</v>
      </c>
      <c r="BB104" s="38">
        <v>0</v>
      </c>
      <c r="BC104" s="38">
        <v>0</v>
      </c>
      <c r="BD104" s="38">
        <v>0</v>
      </c>
      <c r="BE104" s="38">
        <v>0</v>
      </c>
      <c r="BF104" s="38">
        <v>0</v>
      </c>
      <c r="BG104" s="38">
        <v>0</v>
      </c>
      <c r="BH104" s="40">
        <v>3</v>
      </c>
      <c r="BI104" s="40" t="s">
        <v>1416</v>
      </c>
      <c r="BJ104" s="40">
        <v>0</v>
      </c>
    </row>
    <row r="105" spans="1:62" x14ac:dyDescent="0.25">
      <c r="A105" s="6">
        <v>81</v>
      </c>
      <c r="B105" s="6" t="s">
        <v>1715</v>
      </c>
      <c r="C105" s="6" t="s">
        <v>1341</v>
      </c>
      <c r="D105" s="6" t="s">
        <v>1342</v>
      </c>
      <c r="E105" s="6" t="s">
        <v>1341</v>
      </c>
      <c r="F105" s="6" t="s">
        <v>71</v>
      </c>
      <c r="G105" s="17">
        <v>44027.915972222225</v>
      </c>
      <c r="H105" s="21">
        <v>-3</v>
      </c>
      <c r="I105" s="4">
        <f t="shared" si="4"/>
        <v>44027.790972222225</v>
      </c>
      <c r="J105" s="3">
        <v>200</v>
      </c>
      <c r="K105" s="3">
        <v>12500</v>
      </c>
      <c r="L105" s="3">
        <f t="shared" si="5"/>
        <v>3.7344646271510514E-3</v>
      </c>
      <c r="M105" s="3">
        <v>144.6</v>
      </c>
      <c r="N105" s="3">
        <v>50.92</v>
      </c>
      <c r="O105" s="3" t="s">
        <v>1334</v>
      </c>
      <c r="P105" s="3">
        <v>-8.3266200000000001</v>
      </c>
      <c r="Q105" s="3">
        <v>-37.475659999999998</v>
      </c>
      <c r="R105" s="3">
        <v>28000</v>
      </c>
      <c r="S105" s="3">
        <v>28000</v>
      </c>
      <c r="T105" s="3">
        <v>18000</v>
      </c>
      <c r="U105" s="3">
        <f>N105</f>
        <v>50.92</v>
      </c>
      <c r="V105" s="3">
        <v>25000</v>
      </c>
      <c r="W105" s="3" t="s">
        <v>144</v>
      </c>
      <c r="X105" s="3" t="s">
        <v>382</v>
      </c>
      <c r="Y105" s="3">
        <v>0</v>
      </c>
      <c r="Z105" s="3">
        <v>60000</v>
      </c>
      <c r="AA105" s="3">
        <v>60000</v>
      </c>
      <c r="AB105" s="5">
        <v>310</v>
      </c>
      <c r="AC105" s="5">
        <v>2</v>
      </c>
      <c r="AD105" s="5">
        <v>5</v>
      </c>
      <c r="AE105" s="5">
        <v>0.01</v>
      </c>
      <c r="AF105" s="5">
        <v>0.02</v>
      </c>
      <c r="AG105" s="5">
        <v>804</v>
      </c>
      <c r="AH105" s="5">
        <v>-1.5</v>
      </c>
      <c r="AI105" s="5">
        <v>1.5</v>
      </c>
      <c r="AJ105" s="45">
        <v>0</v>
      </c>
      <c r="AK105" s="45">
        <v>0</v>
      </c>
      <c r="AL105" s="45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3">
        <v>0</v>
      </c>
      <c r="AS105" s="25">
        <v>0</v>
      </c>
      <c r="AT105" s="54">
        <v>0</v>
      </c>
      <c r="AU105" s="52">
        <v>0</v>
      </c>
      <c r="AV105" s="52">
        <v>0</v>
      </c>
      <c r="AW105" s="52">
        <v>0</v>
      </c>
      <c r="AX105" s="38">
        <v>0</v>
      </c>
      <c r="AY105" s="38">
        <v>0</v>
      </c>
      <c r="AZ105" s="38">
        <v>0</v>
      </c>
      <c r="BA105" s="38">
        <v>0</v>
      </c>
      <c r="BB105" s="38">
        <v>0</v>
      </c>
      <c r="BC105" s="38">
        <v>0</v>
      </c>
      <c r="BD105" s="38">
        <v>0</v>
      </c>
      <c r="BE105" s="38">
        <v>0</v>
      </c>
      <c r="BF105" s="38">
        <v>0</v>
      </c>
      <c r="BG105" s="38">
        <v>0</v>
      </c>
      <c r="BH105" s="40">
        <v>3</v>
      </c>
      <c r="BI105" s="40" t="s">
        <v>1416</v>
      </c>
      <c r="BJ105" s="40">
        <v>0</v>
      </c>
    </row>
    <row r="106" spans="1:62" x14ac:dyDescent="0.25">
      <c r="A106" s="6">
        <v>82</v>
      </c>
      <c r="B106" s="6" t="s">
        <v>1716</v>
      </c>
      <c r="C106" s="6" t="s">
        <v>1343</v>
      </c>
      <c r="D106" s="6" t="s">
        <v>1344</v>
      </c>
      <c r="E106" s="6" t="s">
        <v>1343</v>
      </c>
      <c r="F106" s="6" t="s">
        <v>394</v>
      </c>
      <c r="G106" s="17">
        <v>44043.017361111109</v>
      </c>
      <c r="H106" s="21">
        <v>2</v>
      </c>
      <c r="I106" s="4">
        <f t="shared" si="4"/>
        <v>44043.100694444445</v>
      </c>
      <c r="J106" s="3">
        <v>150</v>
      </c>
      <c r="K106" s="3">
        <v>18000</v>
      </c>
      <c r="L106" s="3">
        <f t="shared" si="5"/>
        <v>5.8078393881453149E-3</v>
      </c>
      <c r="M106" s="3">
        <v>48.17</v>
      </c>
      <c r="N106" s="3">
        <v>60.204999999999998</v>
      </c>
      <c r="O106" s="3" t="s">
        <v>1334</v>
      </c>
      <c r="P106" s="3">
        <v>51.082000000000001</v>
      </c>
      <c r="Q106" s="3">
        <v>21.238</v>
      </c>
      <c r="R106" s="3">
        <v>32800</v>
      </c>
      <c r="S106" s="3">
        <v>32800</v>
      </c>
      <c r="T106" s="3">
        <v>18000</v>
      </c>
      <c r="U106" s="3">
        <v>60.204999999999998</v>
      </c>
      <c r="V106" s="3">
        <v>32800</v>
      </c>
      <c r="W106" s="3" t="s">
        <v>144</v>
      </c>
      <c r="X106" s="3" t="s">
        <v>382</v>
      </c>
      <c r="Y106" s="3">
        <v>0</v>
      </c>
      <c r="Z106" s="3">
        <v>60000</v>
      </c>
      <c r="AA106" s="3">
        <v>60000</v>
      </c>
      <c r="AB106" s="5">
        <v>500</v>
      </c>
      <c r="AC106" s="5">
        <v>1</v>
      </c>
      <c r="AD106" s="5">
        <v>3</v>
      </c>
      <c r="AE106" s="5">
        <v>5.0000000000000001E-3</v>
      </c>
      <c r="AF106" s="5">
        <v>5.0000000000000001E-3</v>
      </c>
      <c r="AG106" s="5">
        <v>500</v>
      </c>
      <c r="AH106" s="5">
        <v>-1.5</v>
      </c>
      <c r="AI106" s="5">
        <v>1.5</v>
      </c>
      <c r="AJ106" s="45">
        <v>0</v>
      </c>
      <c r="AK106" s="45">
        <v>0</v>
      </c>
      <c r="AL106" s="45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3">
        <v>0</v>
      </c>
      <c r="AS106" s="25">
        <v>0</v>
      </c>
      <c r="AT106" s="54">
        <v>0</v>
      </c>
      <c r="AU106" s="52">
        <v>0</v>
      </c>
      <c r="AV106" s="52">
        <v>0</v>
      </c>
      <c r="AW106" s="52">
        <v>0</v>
      </c>
      <c r="AX106" s="38">
        <v>0</v>
      </c>
      <c r="AY106" s="38">
        <v>0</v>
      </c>
      <c r="AZ106" s="38">
        <v>0</v>
      </c>
      <c r="BA106" s="38">
        <v>0</v>
      </c>
      <c r="BB106" s="38">
        <v>0</v>
      </c>
      <c r="BC106" s="38">
        <v>0</v>
      </c>
      <c r="BD106" s="38">
        <v>0</v>
      </c>
      <c r="BE106" s="38">
        <v>0</v>
      </c>
      <c r="BF106" s="38">
        <v>0</v>
      </c>
      <c r="BG106" s="38">
        <v>0</v>
      </c>
      <c r="BH106" s="40">
        <v>1</v>
      </c>
      <c r="BI106" s="40" t="s">
        <v>1416</v>
      </c>
      <c r="BJ106" s="40">
        <v>0</v>
      </c>
    </row>
    <row r="107" spans="1:62" x14ac:dyDescent="0.25">
      <c r="A107" s="6">
        <v>83</v>
      </c>
      <c r="B107" s="6" t="s">
        <v>1717</v>
      </c>
      <c r="C107" s="6" t="s">
        <v>1345</v>
      </c>
      <c r="D107" s="6" t="s">
        <v>1345</v>
      </c>
      <c r="E107" s="6" t="s">
        <v>1341</v>
      </c>
      <c r="F107" s="6" t="s">
        <v>71</v>
      </c>
      <c r="G107" s="17">
        <v>44062.554560185185</v>
      </c>
      <c r="H107" s="21">
        <v>-3</v>
      </c>
      <c r="I107" s="4">
        <f t="shared" si="4"/>
        <v>44062.429560185185</v>
      </c>
      <c r="J107" s="3">
        <v>1000</v>
      </c>
      <c r="K107" s="3">
        <v>17970</v>
      </c>
      <c r="L107" s="3">
        <f t="shared" si="5"/>
        <v>3.8589973709369028E-2</v>
      </c>
      <c r="M107" s="3">
        <v>268.2</v>
      </c>
      <c r="N107" s="3">
        <v>69.2</v>
      </c>
      <c r="O107" s="3" t="s">
        <v>1334</v>
      </c>
      <c r="P107" s="3">
        <v>-8.1699000000000002</v>
      </c>
      <c r="Q107" s="3">
        <v>-40.536999999999999</v>
      </c>
      <c r="R107" s="3">
        <v>25000</v>
      </c>
      <c r="S107" s="3">
        <v>25000</v>
      </c>
      <c r="T107" s="3">
        <v>17970</v>
      </c>
      <c r="U107" s="3">
        <v>69.2</v>
      </c>
      <c r="V107" s="3">
        <v>20900</v>
      </c>
      <c r="W107" s="3" t="s">
        <v>79</v>
      </c>
      <c r="X107" s="3" t="s">
        <v>382</v>
      </c>
      <c r="Y107" s="3">
        <v>0</v>
      </c>
      <c r="Z107" s="3">
        <v>60000</v>
      </c>
      <c r="AA107" s="3">
        <v>60000</v>
      </c>
      <c r="AB107" s="5">
        <v>500</v>
      </c>
      <c r="AC107" s="5">
        <v>1.1000000000000001</v>
      </c>
      <c r="AD107" s="5">
        <v>2</v>
      </c>
      <c r="AE107" s="5">
        <v>2.3E-3</v>
      </c>
      <c r="AF107" s="5">
        <v>8.5000000000000006E-3</v>
      </c>
      <c r="AG107" s="5">
        <v>250</v>
      </c>
      <c r="AH107" s="5">
        <v>-1.5</v>
      </c>
      <c r="AI107" s="5">
        <v>1.5</v>
      </c>
      <c r="AJ107" s="45">
        <v>0</v>
      </c>
      <c r="AK107" s="45">
        <v>0</v>
      </c>
      <c r="AL107" s="45">
        <v>0</v>
      </c>
      <c r="AM107" s="23">
        <v>0</v>
      </c>
      <c r="AN107" s="23">
        <v>0</v>
      </c>
      <c r="AO107" s="23">
        <v>50</v>
      </c>
      <c r="AP107" s="23">
        <v>38000</v>
      </c>
      <c r="AQ107" s="23">
        <v>0</v>
      </c>
      <c r="AR107" s="23">
        <v>0</v>
      </c>
      <c r="AS107" s="25">
        <v>0</v>
      </c>
      <c r="AT107" s="54">
        <v>0</v>
      </c>
      <c r="AU107" s="52">
        <v>0</v>
      </c>
      <c r="AV107" s="52">
        <v>0</v>
      </c>
      <c r="AW107" s="52">
        <v>0</v>
      </c>
      <c r="AX107" s="38">
        <v>0</v>
      </c>
      <c r="AY107" s="38">
        <v>0</v>
      </c>
      <c r="AZ107" s="38">
        <v>0</v>
      </c>
      <c r="BA107" s="38">
        <v>0</v>
      </c>
      <c r="BB107" s="38">
        <v>0</v>
      </c>
      <c r="BC107" s="38">
        <v>0</v>
      </c>
      <c r="BD107" s="38">
        <v>0</v>
      </c>
      <c r="BE107" s="38">
        <v>0</v>
      </c>
      <c r="BF107" s="38">
        <v>0</v>
      </c>
      <c r="BG107" s="38">
        <v>0</v>
      </c>
      <c r="BH107" s="40">
        <v>4</v>
      </c>
      <c r="BI107" s="40" t="s">
        <v>1416</v>
      </c>
      <c r="BJ107" s="40">
        <v>0</v>
      </c>
    </row>
    <row r="108" spans="1:62" x14ac:dyDescent="0.25">
      <c r="A108" s="6">
        <v>84</v>
      </c>
      <c r="B108" s="6" t="s">
        <v>1718</v>
      </c>
      <c r="C108" s="6" t="s">
        <v>1347</v>
      </c>
      <c r="D108" s="6" t="s">
        <v>1347</v>
      </c>
      <c r="E108" s="6" t="s">
        <v>1346</v>
      </c>
      <c r="F108" s="6" t="s">
        <v>71</v>
      </c>
      <c r="G108" s="17">
        <v>44105.173020833332</v>
      </c>
      <c r="H108" s="21">
        <v>-3</v>
      </c>
      <c r="I108" s="4">
        <f t="shared" si="4"/>
        <v>44105.048020833332</v>
      </c>
      <c r="J108" s="3">
        <v>200</v>
      </c>
      <c r="K108" s="3">
        <v>16550</v>
      </c>
      <c r="L108" s="3">
        <f t="shared" si="5"/>
        <v>6.546426864244741E-3</v>
      </c>
      <c r="M108" s="3">
        <v>344.85</v>
      </c>
      <c r="N108" s="3">
        <v>49.92</v>
      </c>
      <c r="O108" s="3" t="s">
        <v>1334</v>
      </c>
      <c r="P108" s="3">
        <v>-28.529879999999999</v>
      </c>
      <c r="Q108" s="3">
        <v>-51.107480000000002</v>
      </c>
      <c r="R108" s="3">
        <v>17260</v>
      </c>
      <c r="S108" s="3">
        <v>17260</v>
      </c>
      <c r="T108" s="3">
        <v>16550</v>
      </c>
      <c r="U108" s="3">
        <v>49.92</v>
      </c>
      <c r="V108" s="3">
        <v>17000</v>
      </c>
      <c r="W108" s="3" t="s">
        <v>144</v>
      </c>
      <c r="X108" s="3" t="s">
        <v>382</v>
      </c>
      <c r="Y108" s="3">
        <v>0</v>
      </c>
      <c r="Z108" s="3">
        <v>60000</v>
      </c>
      <c r="AA108" s="3">
        <v>60000</v>
      </c>
      <c r="AB108" s="5">
        <v>500</v>
      </c>
      <c r="AC108" s="5">
        <v>1.35</v>
      </c>
      <c r="AD108" s="5">
        <v>1.1000000000000001</v>
      </c>
      <c r="AE108" s="5">
        <v>5.0000000000000001E-3</v>
      </c>
      <c r="AF108" s="5">
        <v>5.0000000000000001E-3</v>
      </c>
      <c r="AG108" s="5">
        <v>500</v>
      </c>
      <c r="AH108" s="5">
        <v>-1.5</v>
      </c>
      <c r="AI108" s="5">
        <v>1.5</v>
      </c>
      <c r="AJ108" s="45">
        <v>0</v>
      </c>
      <c r="AK108" s="45">
        <v>0</v>
      </c>
      <c r="AL108" s="45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3">
        <v>0</v>
      </c>
      <c r="AS108" s="25">
        <v>0</v>
      </c>
      <c r="AT108" s="54">
        <v>0</v>
      </c>
      <c r="AU108" s="52">
        <v>0</v>
      </c>
      <c r="AV108" s="52">
        <v>0</v>
      </c>
      <c r="AW108" s="52">
        <v>0</v>
      </c>
      <c r="AX108" s="38">
        <v>0</v>
      </c>
      <c r="AY108" s="38">
        <v>0</v>
      </c>
      <c r="AZ108" s="38">
        <v>0</v>
      </c>
      <c r="BA108" s="38">
        <v>0</v>
      </c>
      <c r="BB108" s="38">
        <v>0</v>
      </c>
      <c r="BC108" s="38">
        <v>0</v>
      </c>
      <c r="BD108" s="38">
        <v>0</v>
      </c>
      <c r="BE108" s="38">
        <v>0</v>
      </c>
      <c r="BF108" s="38">
        <v>0</v>
      </c>
      <c r="BG108" s="38">
        <v>0</v>
      </c>
      <c r="BH108" s="40">
        <v>3</v>
      </c>
      <c r="BI108" s="40" t="s">
        <v>1416</v>
      </c>
      <c r="BJ108" s="40">
        <v>0</v>
      </c>
    </row>
    <row r="109" spans="1:62" x14ac:dyDescent="0.25">
      <c r="A109" s="6">
        <v>85</v>
      </c>
      <c r="B109" s="6" t="s">
        <v>1719</v>
      </c>
      <c r="C109" s="6" t="s">
        <v>1349</v>
      </c>
      <c r="D109" s="6" t="s">
        <v>1349</v>
      </c>
      <c r="E109" s="6" t="s">
        <v>1348</v>
      </c>
      <c r="F109" s="6" t="s">
        <v>4</v>
      </c>
      <c r="G109" s="17">
        <v>44136.995266203703</v>
      </c>
      <c r="H109" s="21">
        <v>-6</v>
      </c>
      <c r="I109" s="4">
        <f t="shared" si="4"/>
        <v>44136.745266203703</v>
      </c>
      <c r="J109" s="3">
        <v>10</v>
      </c>
      <c r="K109" s="3">
        <v>20100</v>
      </c>
      <c r="L109" s="3">
        <f t="shared" si="5"/>
        <v>4.8280353728489482E-4</v>
      </c>
      <c r="M109" s="3">
        <v>221.96</v>
      </c>
      <c r="N109" s="3">
        <v>35.020000000000003</v>
      </c>
      <c r="O109" s="3" t="s">
        <v>1334</v>
      </c>
      <c r="P109" s="3">
        <v>33.633000000000003</v>
      </c>
      <c r="Q109" s="3">
        <v>-86.052999999999997</v>
      </c>
      <c r="R109" s="3">
        <v>32200</v>
      </c>
      <c r="S109" s="3">
        <v>32200</v>
      </c>
      <c r="T109" s="3">
        <v>20100</v>
      </c>
      <c r="U109" s="3">
        <v>35.020000000000003</v>
      </c>
      <c r="V109" s="3">
        <v>32000</v>
      </c>
      <c r="W109" s="3" t="s">
        <v>144</v>
      </c>
      <c r="X109" s="3" t="s">
        <v>382</v>
      </c>
      <c r="Y109" s="3">
        <v>0</v>
      </c>
      <c r="Z109" s="3">
        <v>60000</v>
      </c>
      <c r="AA109" s="3">
        <v>60000</v>
      </c>
      <c r="AB109" s="5">
        <v>1500</v>
      </c>
      <c r="AC109" s="5">
        <v>3</v>
      </c>
      <c r="AD109" s="5">
        <v>2</v>
      </c>
      <c r="AE109" s="5">
        <v>5.0000000000000001E-3</v>
      </c>
      <c r="AF109" s="5">
        <v>5.0000000000000001E-3</v>
      </c>
      <c r="AG109" s="5">
        <v>500</v>
      </c>
      <c r="AH109" s="5">
        <v>-1.5</v>
      </c>
      <c r="AI109" s="5">
        <v>1.5</v>
      </c>
      <c r="AJ109" s="45">
        <v>0</v>
      </c>
      <c r="AK109" s="45">
        <v>0</v>
      </c>
      <c r="AL109" s="45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3">
        <v>0</v>
      </c>
      <c r="AS109" s="25">
        <v>0</v>
      </c>
      <c r="AT109" s="54">
        <v>0</v>
      </c>
      <c r="AU109" s="52">
        <v>0</v>
      </c>
      <c r="AV109" s="52">
        <v>0</v>
      </c>
      <c r="AW109" s="52">
        <v>0</v>
      </c>
      <c r="AX109" s="38">
        <v>0</v>
      </c>
      <c r="AY109" s="38">
        <v>0</v>
      </c>
      <c r="AZ109" s="38">
        <v>0</v>
      </c>
      <c r="BA109" s="38">
        <v>0</v>
      </c>
      <c r="BB109" s="38">
        <v>0</v>
      </c>
      <c r="BC109" s="38">
        <v>0</v>
      </c>
      <c r="BD109" s="38">
        <v>0</v>
      </c>
      <c r="BE109" s="38">
        <v>0</v>
      </c>
      <c r="BF109" s="38">
        <v>0</v>
      </c>
      <c r="BG109" s="38">
        <v>0</v>
      </c>
      <c r="BH109" s="40">
        <v>2</v>
      </c>
      <c r="BI109" s="40" t="s">
        <v>1416</v>
      </c>
      <c r="BJ109" s="40">
        <v>0</v>
      </c>
    </row>
    <row r="110" spans="1:62" x14ac:dyDescent="0.25">
      <c r="A110" s="6">
        <v>87</v>
      </c>
      <c r="B110" s="6" t="s">
        <v>1721</v>
      </c>
      <c r="C110" s="6" t="s">
        <v>1352</v>
      </c>
      <c r="D110" s="6" t="s">
        <v>1352</v>
      </c>
      <c r="E110" s="6" t="s">
        <v>1353</v>
      </c>
      <c r="F110" s="6" t="s">
        <v>1040</v>
      </c>
      <c r="G110" s="17">
        <v>44142.893796296295</v>
      </c>
      <c r="H110" s="21">
        <v>1</v>
      </c>
      <c r="I110" s="4">
        <f t="shared" si="4"/>
        <v>44142.93546296296</v>
      </c>
      <c r="J110" s="3">
        <v>9250</v>
      </c>
      <c r="K110" s="3">
        <v>17400</v>
      </c>
      <c r="L110" s="3">
        <f t="shared" si="5"/>
        <v>0.33467136711281065</v>
      </c>
      <c r="M110" s="3">
        <v>64.159499999999994</v>
      </c>
      <c r="N110" s="3">
        <v>18.155899999999999</v>
      </c>
      <c r="O110" s="3" t="s">
        <v>1334</v>
      </c>
      <c r="P110" s="3">
        <v>59.826000000000001</v>
      </c>
      <c r="Q110" s="3">
        <v>16.873000000000001</v>
      </c>
      <c r="R110" s="3">
        <v>11400</v>
      </c>
      <c r="S110" s="3">
        <v>11400</v>
      </c>
      <c r="T110" s="3">
        <v>17400</v>
      </c>
      <c r="U110" s="3">
        <v>18.350000000000001</v>
      </c>
      <c r="V110" s="3">
        <v>17000</v>
      </c>
      <c r="W110" s="3" t="s">
        <v>1360</v>
      </c>
      <c r="X110" s="3" t="s">
        <v>382</v>
      </c>
      <c r="Y110" s="3">
        <v>0</v>
      </c>
      <c r="Z110" s="3">
        <v>60000</v>
      </c>
      <c r="AA110" s="3">
        <v>60000</v>
      </c>
      <c r="AB110" s="5">
        <v>800</v>
      </c>
      <c r="AC110" s="5">
        <v>2</v>
      </c>
      <c r="AD110" s="5">
        <v>1</v>
      </c>
      <c r="AE110" s="5">
        <v>5.0000000000000001E-3</v>
      </c>
      <c r="AF110" s="5">
        <v>5.0000000000000001E-3</v>
      </c>
      <c r="AG110" s="5">
        <v>500</v>
      </c>
      <c r="AH110" s="5">
        <v>-1.5</v>
      </c>
      <c r="AI110" s="5">
        <v>1.5</v>
      </c>
      <c r="AJ110" s="45" t="s">
        <v>1361</v>
      </c>
      <c r="AK110" s="45">
        <v>0</v>
      </c>
      <c r="AL110" s="45">
        <v>0</v>
      </c>
      <c r="AM110" s="23">
        <v>0</v>
      </c>
      <c r="AN110" s="23">
        <v>2</v>
      </c>
      <c r="AO110" s="23">
        <v>14</v>
      </c>
      <c r="AP110" s="23">
        <v>0</v>
      </c>
      <c r="AQ110" s="23">
        <v>0</v>
      </c>
      <c r="AR110" s="23">
        <v>0</v>
      </c>
      <c r="AS110" s="25">
        <v>0</v>
      </c>
      <c r="AT110" s="54">
        <v>0</v>
      </c>
      <c r="AU110" s="52">
        <v>0</v>
      </c>
      <c r="AV110" s="52">
        <v>0</v>
      </c>
      <c r="AW110" s="52">
        <v>0</v>
      </c>
      <c r="AX110" s="38">
        <v>0</v>
      </c>
      <c r="AY110" s="38">
        <v>0</v>
      </c>
      <c r="AZ110" s="38">
        <v>0</v>
      </c>
      <c r="BA110" s="38">
        <v>0</v>
      </c>
      <c r="BB110" s="38">
        <v>0</v>
      </c>
      <c r="BC110" s="38">
        <v>0</v>
      </c>
      <c r="BD110" s="38">
        <v>0</v>
      </c>
      <c r="BE110" s="38">
        <v>0</v>
      </c>
      <c r="BF110" s="38">
        <v>0</v>
      </c>
      <c r="BG110" s="38">
        <v>0</v>
      </c>
      <c r="BH110" s="40">
        <v>3</v>
      </c>
      <c r="BI110" s="40" t="s">
        <v>1416</v>
      </c>
      <c r="BJ110" s="40">
        <v>0</v>
      </c>
    </row>
    <row r="111" spans="1:62" x14ac:dyDescent="0.25">
      <c r="A111" s="6">
        <v>87</v>
      </c>
      <c r="B111" s="6" t="s">
        <v>1721</v>
      </c>
      <c r="C111" s="6" t="s">
        <v>1354</v>
      </c>
      <c r="D111" s="6" t="s">
        <v>1352</v>
      </c>
      <c r="E111" s="6" t="s">
        <v>1353</v>
      </c>
      <c r="F111" s="6" t="s">
        <v>1040</v>
      </c>
      <c r="G111" s="17">
        <v>44142.893796296295</v>
      </c>
      <c r="H111" s="21">
        <v>1</v>
      </c>
      <c r="I111" s="4">
        <f t="shared" si="4"/>
        <v>44142.93546296296</v>
      </c>
      <c r="J111" s="3">
        <v>9700</v>
      </c>
      <c r="K111" s="3">
        <v>17055</v>
      </c>
      <c r="L111" s="3">
        <f t="shared" si="5"/>
        <v>0.3371735590941683</v>
      </c>
      <c r="M111" s="3">
        <v>63.18</v>
      </c>
      <c r="N111" s="3">
        <v>17.477</v>
      </c>
      <c r="O111" s="3" t="s">
        <v>1334</v>
      </c>
      <c r="P111" s="3">
        <v>59.830323999999997</v>
      </c>
      <c r="Q111" s="3">
        <v>16.823345</v>
      </c>
      <c r="R111" s="3">
        <v>17200</v>
      </c>
      <c r="S111" s="3">
        <v>17200</v>
      </c>
      <c r="T111" s="3">
        <v>17000</v>
      </c>
      <c r="U111" s="3">
        <v>17.477</v>
      </c>
      <c r="V111" s="3">
        <v>17000</v>
      </c>
      <c r="W111" s="3" t="s">
        <v>1360</v>
      </c>
      <c r="X111" s="3" t="s">
        <v>382</v>
      </c>
      <c r="Y111" s="3">
        <v>0</v>
      </c>
      <c r="Z111" s="3">
        <v>60000</v>
      </c>
      <c r="AA111" s="3">
        <v>60000</v>
      </c>
      <c r="AB111" s="5">
        <v>345</v>
      </c>
      <c r="AC111" s="5">
        <v>1</v>
      </c>
      <c r="AD111" s="5">
        <v>0.7</v>
      </c>
      <c r="AE111" s="5">
        <v>5.0000000000000001E-3</v>
      </c>
      <c r="AF111" s="5">
        <v>5.0000000000000001E-3</v>
      </c>
      <c r="AG111" s="5">
        <v>1000</v>
      </c>
      <c r="AH111" s="5">
        <v>-1.5</v>
      </c>
      <c r="AI111" s="5">
        <v>1.5</v>
      </c>
      <c r="AJ111" s="45" t="s">
        <v>1361</v>
      </c>
      <c r="AK111" s="45">
        <v>0</v>
      </c>
      <c r="AL111" s="45">
        <v>0</v>
      </c>
      <c r="AM111" s="23">
        <v>0</v>
      </c>
      <c r="AN111" s="23">
        <v>2</v>
      </c>
      <c r="AO111" s="23">
        <v>14</v>
      </c>
      <c r="AP111" s="23">
        <v>0</v>
      </c>
      <c r="AQ111" s="23">
        <v>0</v>
      </c>
      <c r="AR111" s="23">
        <v>0</v>
      </c>
      <c r="AS111" s="25">
        <v>0</v>
      </c>
      <c r="AT111" s="54">
        <v>0</v>
      </c>
      <c r="AU111" s="52">
        <v>0</v>
      </c>
      <c r="AV111" s="52">
        <v>0</v>
      </c>
      <c r="AW111" s="52">
        <v>0</v>
      </c>
      <c r="AX111" s="38">
        <v>0</v>
      </c>
      <c r="AY111" s="38">
        <v>0</v>
      </c>
      <c r="AZ111" s="38">
        <v>0</v>
      </c>
      <c r="BA111" s="38">
        <v>0</v>
      </c>
      <c r="BB111" s="38">
        <v>0</v>
      </c>
      <c r="BC111" s="38">
        <v>0</v>
      </c>
      <c r="BD111" s="38">
        <v>0</v>
      </c>
      <c r="BE111" s="38">
        <v>0</v>
      </c>
      <c r="BF111" s="38">
        <v>0</v>
      </c>
      <c r="BG111" s="38">
        <v>0</v>
      </c>
      <c r="BH111" s="40">
        <v>2</v>
      </c>
      <c r="BI111" s="40" t="s">
        <v>1416</v>
      </c>
      <c r="BJ111" s="40">
        <v>0</v>
      </c>
    </row>
    <row r="112" spans="1:62" x14ac:dyDescent="0.25">
      <c r="A112" s="6">
        <v>86</v>
      </c>
      <c r="B112" s="6" t="s">
        <v>1720</v>
      </c>
      <c r="C112" s="6" t="s">
        <v>1350</v>
      </c>
      <c r="D112" s="6" t="s">
        <v>1350</v>
      </c>
      <c r="E112" s="6" t="s">
        <v>1351</v>
      </c>
      <c r="F112" s="6" t="s">
        <v>4</v>
      </c>
      <c r="G112" s="17">
        <v>44144.013194444444</v>
      </c>
      <c r="H112" s="21">
        <v>-4</v>
      </c>
      <c r="I112" s="4">
        <f t="shared" si="4"/>
        <v>44143.84652777778</v>
      </c>
      <c r="J112" s="3">
        <v>150</v>
      </c>
      <c r="K112" s="3">
        <v>18000</v>
      </c>
      <c r="L112" s="3">
        <f t="shared" si="5"/>
        <v>5.8078393881453149E-3</v>
      </c>
      <c r="M112" s="3">
        <v>285.2</v>
      </c>
      <c r="N112" s="3">
        <v>62.1</v>
      </c>
      <c r="O112" s="3" t="s">
        <v>1334</v>
      </c>
      <c r="P112" s="3">
        <v>41.694499999999998</v>
      </c>
      <c r="Q112" s="3">
        <v>-73.899799999999999</v>
      </c>
      <c r="R112" s="3">
        <v>37790</v>
      </c>
      <c r="S112" s="3">
        <v>40000</v>
      </c>
      <c r="T112" s="3">
        <v>18000</v>
      </c>
      <c r="U112" s="3">
        <v>62.1</v>
      </c>
      <c r="V112" s="3">
        <v>12000</v>
      </c>
      <c r="W112" s="3" t="s">
        <v>144</v>
      </c>
      <c r="X112" s="3" t="s">
        <v>382</v>
      </c>
      <c r="Y112" s="3">
        <v>0</v>
      </c>
      <c r="Z112" s="3">
        <v>60000</v>
      </c>
      <c r="AA112" s="3">
        <v>60000</v>
      </c>
      <c r="AB112" s="5">
        <v>4000</v>
      </c>
      <c r="AC112" s="5">
        <v>3</v>
      </c>
      <c r="AD112" s="5">
        <v>10</v>
      </c>
      <c r="AE112" s="5">
        <v>0.01</v>
      </c>
      <c r="AF112" s="5">
        <v>0.01</v>
      </c>
      <c r="AG112" s="5">
        <v>1000</v>
      </c>
      <c r="AH112" s="5">
        <v>-1.5</v>
      </c>
      <c r="AI112" s="5">
        <v>1.5</v>
      </c>
      <c r="AJ112" s="45">
        <v>0</v>
      </c>
      <c r="AK112" s="45">
        <v>0</v>
      </c>
      <c r="AL112" s="45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3">
        <v>0</v>
      </c>
      <c r="AS112" s="25">
        <v>0</v>
      </c>
      <c r="AT112" s="54">
        <v>0</v>
      </c>
      <c r="AU112" s="52">
        <v>0</v>
      </c>
      <c r="AV112" s="52">
        <v>0</v>
      </c>
      <c r="AW112" s="52">
        <v>0</v>
      </c>
      <c r="AX112" s="38">
        <v>0</v>
      </c>
      <c r="AY112" s="38">
        <v>0</v>
      </c>
      <c r="AZ112" s="38">
        <v>0</v>
      </c>
      <c r="BA112" s="38">
        <v>0</v>
      </c>
      <c r="BB112" s="38">
        <v>0</v>
      </c>
      <c r="BC112" s="38">
        <v>0</v>
      </c>
      <c r="BD112" s="38">
        <v>0</v>
      </c>
      <c r="BE112" s="38">
        <v>0</v>
      </c>
      <c r="BF112" s="38">
        <v>0</v>
      </c>
      <c r="BG112" s="38">
        <v>0</v>
      </c>
      <c r="BH112" s="40">
        <v>1</v>
      </c>
      <c r="BI112" s="40" t="s">
        <v>1416</v>
      </c>
      <c r="BJ112" s="40">
        <v>0</v>
      </c>
    </row>
    <row r="113" spans="1:62" x14ac:dyDescent="0.25">
      <c r="A113" s="6">
        <v>165</v>
      </c>
      <c r="B113" s="6" t="s">
        <v>1790</v>
      </c>
      <c r="C113" s="6" t="s">
        <v>1564</v>
      </c>
      <c r="D113" s="6" t="s">
        <v>1564</v>
      </c>
      <c r="E113" s="6" t="s">
        <v>1584</v>
      </c>
      <c r="F113" s="6" t="s">
        <v>450</v>
      </c>
      <c r="G113" s="17">
        <v>44154.157581018517</v>
      </c>
      <c r="H113" s="21">
        <v>1</v>
      </c>
      <c r="I113" s="4">
        <f t="shared" si="4"/>
        <v>44154.199247685181</v>
      </c>
      <c r="P113" s="3">
        <v>47.516666999999998</v>
      </c>
      <c r="Q113" s="3">
        <v>15.433332999999999</v>
      </c>
      <c r="W113" s="3" t="s">
        <v>115</v>
      </c>
      <c r="X113" s="3" t="s">
        <v>245</v>
      </c>
      <c r="AH113" s="5">
        <v>-1.5</v>
      </c>
      <c r="AI113" s="5">
        <v>1.5</v>
      </c>
      <c r="AJ113" s="45">
        <v>0</v>
      </c>
      <c r="AK113" s="45">
        <v>0</v>
      </c>
      <c r="AL113" s="45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3">
        <v>0</v>
      </c>
      <c r="AS113" s="25">
        <v>0</v>
      </c>
      <c r="AT113" s="54">
        <v>0</v>
      </c>
      <c r="AU113" s="52">
        <v>0</v>
      </c>
      <c r="AV113" s="52">
        <v>0</v>
      </c>
      <c r="AW113" s="52">
        <v>0</v>
      </c>
      <c r="AX113" s="38">
        <v>0</v>
      </c>
      <c r="AY113" s="38">
        <v>139</v>
      </c>
      <c r="AZ113" s="38">
        <v>0</v>
      </c>
      <c r="BA113" s="38">
        <v>0</v>
      </c>
      <c r="BB113" s="38">
        <v>0</v>
      </c>
      <c r="BC113" s="38">
        <v>0</v>
      </c>
      <c r="BD113" s="38">
        <v>138</v>
      </c>
      <c r="BE113" s="38">
        <v>0</v>
      </c>
      <c r="BF113" s="38">
        <v>0</v>
      </c>
      <c r="BG113" s="38">
        <v>0</v>
      </c>
      <c r="BH113" s="40">
        <v>0</v>
      </c>
      <c r="BI113" s="40" t="s">
        <v>1416</v>
      </c>
      <c r="BJ113" s="40">
        <v>0</v>
      </c>
    </row>
    <row r="114" spans="1:62" x14ac:dyDescent="0.25">
      <c r="A114" s="6">
        <v>90</v>
      </c>
      <c r="B114" s="6" t="s">
        <v>1722</v>
      </c>
      <c r="C114" s="6" t="s">
        <v>1355</v>
      </c>
      <c r="D114" s="6" t="s">
        <v>1355</v>
      </c>
      <c r="E114" s="6" t="s">
        <v>1351</v>
      </c>
      <c r="F114" s="6" t="s">
        <v>4</v>
      </c>
      <c r="G114" s="17">
        <v>44167.713194444441</v>
      </c>
      <c r="H114" s="21">
        <v>-5</v>
      </c>
      <c r="I114" s="4">
        <f t="shared" si="4"/>
        <v>44167.504861111105</v>
      </c>
      <c r="J114" s="3">
        <v>900</v>
      </c>
      <c r="K114" s="3">
        <v>25000</v>
      </c>
      <c r="L114" s="3">
        <f>J114*K114^2/2/4.184/10^12</f>
        <v>6.7220363288718929E-2</v>
      </c>
      <c r="M114" s="3">
        <v>233</v>
      </c>
      <c r="N114" s="3">
        <v>63</v>
      </c>
      <c r="O114" s="3" t="s">
        <v>1334</v>
      </c>
      <c r="P114" s="3">
        <v>42.945</v>
      </c>
      <c r="Q114" s="3">
        <v>-76.655000000000001</v>
      </c>
      <c r="R114" s="3">
        <v>28000</v>
      </c>
      <c r="S114" s="3">
        <v>28000</v>
      </c>
      <c r="T114" s="3">
        <v>25000</v>
      </c>
      <c r="U114" s="3">
        <v>63</v>
      </c>
      <c r="V114" s="3">
        <v>18000</v>
      </c>
      <c r="W114" s="3" t="s">
        <v>144</v>
      </c>
      <c r="X114" s="3" t="s">
        <v>382</v>
      </c>
      <c r="Y114" s="3">
        <v>0</v>
      </c>
      <c r="Z114" s="3">
        <v>60000</v>
      </c>
      <c r="AA114" s="3">
        <v>60000</v>
      </c>
      <c r="AB114" s="5">
        <v>2000</v>
      </c>
      <c r="AC114" s="5">
        <v>8</v>
      </c>
      <c r="AD114" s="5">
        <v>8</v>
      </c>
      <c r="AE114" s="5">
        <v>5.0000000000000001E-3</v>
      </c>
      <c r="AF114" s="5">
        <v>5.0000000000000001E-3</v>
      </c>
      <c r="AG114" s="5">
        <v>2000</v>
      </c>
      <c r="AH114" s="5">
        <v>-1.5</v>
      </c>
      <c r="AI114" s="5">
        <v>1.5</v>
      </c>
      <c r="AJ114" s="45">
        <v>0</v>
      </c>
      <c r="AK114" s="45">
        <v>0</v>
      </c>
      <c r="AL114" s="45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3">
        <v>0</v>
      </c>
      <c r="AS114" s="25">
        <v>0</v>
      </c>
      <c r="AT114" s="54">
        <v>0</v>
      </c>
      <c r="AU114" s="52">
        <v>0</v>
      </c>
      <c r="AV114" s="52">
        <v>0</v>
      </c>
      <c r="AW114" s="52">
        <v>0</v>
      </c>
      <c r="AX114" s="38">
        <v>0</v>
      </c>
      <c r="AY114" s="38">
        <v>0</v>
      </c>
      <c r="AZ114" s="38">
        <v>0</v>
      </c>
      <c r="BA114" s="38">
        <v>0</v>
      </c>
      <c r="BB114" s="38">
        <v>0</v>
      </c>
      <c r="BC114" s="38">
        <v>0</v>
      </c>
      <c r="BD114" s="38">
        <v>0</v>
      </c>
      <c r="BE114" s="38">
        <v>0</v>
      </c>
      <c r="BF114" s="38">
        <v>0</v>
      </c>
      <c r="BG114" s="38">
        <v>0</v>
      </c>
      <c r="BH114" s="40">
        <v>2</v>
      </c>
      <c r="BI114" s="40" t="s">
        <v>1416</v>
      </c>
      <c r="BJ114" s="40">
        <v>0</v>
      </c>
    </row>
    <row r="115" spans="1:62" x14ac:dyDescent="0.25">
      <c r="A115" s="6">
        <v>91</v>
      </c>
      <c r="B115" s="6" t="s">
        <v>1723</v>
      </c>
      <c r="C115" s="6" t="s">
        <v>1356</v>
      </c>
      <c r="D115" s="6" t="s">
        <v>1356</v>
      </c>
      <c r="E115" s="6" t="s">
        <v>5</v>
      </c>
      <c r="F115" s="6" t="s">
        <v>4</v>
      </c>
      <c r="G115" s="17">
        <v>44176.018318287039</v>
      </c>
      <c r="H115" s="21">
        <v>-5</v>
      </c>
      <c r="I115" s="4">
        <f t="shared" si="4"/>
        <v>44175.809984953703</v>
      </c>
      <c r="J115" s="3">
        <v>2</v>
      </c>
      <c r="K115" s="3">
        <v>28072.8632</v>
      </c>
      <c r="L115" s="3">
        <f>J115*K115^2/2/4.184/10^12</f>
        <v>1.8835699049854547E-4</v>
      </c>
      <c r="M115" s="3">
        <v>250.2268</v>
      </c>
      <c r="N115" s="3">
        <v>69.266199999999998</v>
      </c>
      <c r="O115" s="3" t="s">
        <v>1334</v>
      </c>
      <c r="P115" s="3">
        <v>42.618605000000002</v>
      </c>
      <c r="Q115" s="3">
        <v>-82.927769999999995</v>
      </c>
      <c r="R115" s="3">
        <v>52447.46</v>
      </c>
      <c r="S115" s="3">
        <v>52487.816500000001</v>
      </c>
      <c r="T115" s="3">
        <v>28080</v>
      </c>
      <c r="U115" s="3">
        <v>69.3</v>
      </c>
      <c r="V115" s="3">
        <v>52000</v>
      </c>
      <c r="W115" s="3" t="s">
        <v>144</v>
      </c>
      <c r="X115" s="3" t="s">
        <v>382</v>
      </c>
      <c r="Y115" s="3">
        <v>0</v>
      </c>
      <c r="Z115" s="3">
        <v>60000</v>
      </c>
      <c r="AA115" s="3">
        <v>60000</v>
      </c>
      <c r="AB115" s="5">
        <v>100</v>
      </c>
      <c r="AC115" s="5">
        <v>0.1</v>
      </c>
      <c r="AD115" s="5">
        <v>0.1</v>
      </c>
      <c r="AE115" s="5">
        <v>5.0000000000000001E-4</v>
      </c>
      <c r="AF115" s="5">
        <v>5.0000000000000001E-4</v>
      </c>
      <c r="AG115" s="5">
        <v>50</v>
      </c>
      <c r="AH115" s="5">
        <v>-1.5</v>
      </c>
      <c r="AI115" s="5">
        <v>1.5</v>
      </c>
      <c r="AJ115" s="45">
        <v>0</v>
      </c>
      <c r="AK115" s="45">
        <v>0</v>
      </c>
      <c r="AL115" s="45">
        <v>0</v>
      </c>
      <c r="AM115" s="23">
        <v>0</v>
      </c>
      <c r="AN115" s="23">
        <v>0</v>
      </c>
      <c r="AO115" s="23">
        <v>0</v>
      </c>
      <c r="AP115" s="23">
        <v>0</v>
      </c>
      <c r="AQ115" s="23">
        <v>0</v>
      </c>
      <c r="AR115" s="23">
        <v>0</v>
      </c>
      <c r="AS115" s="25">
        <v>0</v>
      </c>
      <c r="AT115" s="54">
        <v>0</v>
      </c>
      <c r="AU115" s="52">
        <v>0</v>
      </c>
      <c r="AV115" s="52">
        <v>0</v>
      </c>
      <c r="AW115" s="52">
        <v>0</v>
      </c>
      <c r="AX115" s="38">
        <v>0</v>
      </c>
      <c r="AY115" s="38">
        <v>0</v>
      </c>
      <c r="AZ115" s="38">
        <v>0</v>
      </c>
      <c r="BA115" s="38">
        <v>0</v>
      </c>
      <c r="BB115" s="38">
        <v>0</v>
      </c>
      <c r="BC115" s="38">
        <v>0</v>
      </c>
      <c r="BD115" s="38">
        <v>0</v>
      </c>
      <c r="BE115" s="38">
        <v>0</v>
      </c>
      <c r="BF115" s="38">
        <v>0</v>
      </c>
      <c r="BG115" s="38">
        <v>0</v>
      </c>
      <c r="BH115" s="40">
        <v>2</v>
      </c>
      <c r="BI115" s="40" t="s">
        <v>1416</v>
      </c>
      <c r="BJ115" s="40">
        <v>0</v>
      </c>
    </row>
    <row r="116" spans="1:62" x14ac:dyDescent="0.25">
      <c r="A116" s="6">
        <v>92</v>
      </c>
      <c r="B116" s="6" t="s">
        <v>1724</v>
      </c>
      <c r="C116" s="6" t="s">
        <v>1357</v>
      </c>
      <c r="D116" s="6" t="s">
        <v>1357</v>
      </c>
      <c r="E116" s="6" t="s">
        <v>1326</v>
      </c>
      <c r="F116" s="6" t="s">
        <v>4</v>
      </c>
      <c r="G116" s="17">
        <v>44181.534918981481</v>
      </c>
      <c r="H116" s="21">
        <v>-6</v>
      </c>
      <c r="I116" s="4">
        <f t="shared" si="4"/>
        <v>44181.284918981481</v>
      </c>
      <c r="J116" s="3">
        <v>50</v>
      </c>
      <c r="K116" s="3">
        <v>12000</v>
      </c>
      <c r="L116" s="3">
        <f>J116*K116^2/2/4.184/10^12</f>
        <v>8.6042065009560222E-4</v>
      </c>
      <c r="M116" s="3">
        <v>149.30000000000001</v>
      </c>
      <c r="N116" s="3">
        <v>54</v>
      </c>
      <c r="O116" s="3" t="s">
        <v>1334</v>
      </c>
      <c r="P116" s="3">
        <v>46.357439999999997</v>
      </c>
      <c r="Q116" s="3">
        <v>-91.513279999999995</v>
      </c>
      <c r="R116" s="3">
        <v>1200</v>
      </c>
      <c r="S116" s="3">
        <v>42408</v>
      </c>
      <c r="T116" s="3">
        <v>6000</v>
      </c>
      <c r="U116" s="3">
        <v>54</v>
      </c>
      <c r="V116" s="3">
        <v>30000</v>
      </c>
      <c r="W116" s="3" t="s">
        <v>144</v>
      </c>
      <c r="X116" s="3" t="s">
        <v>382</v>
      </c>
      <c r="Y116" s="3">
        <v>0</v>
      </c>
      <c r="Z116" s="3">
        <v>60000</v>
      </c>
      <c r="AA116" s="3">
        <v>60000</v>
      </c>
      <c r="AB116" s="5">
        <v>2000</v>
      </c>
      <c r="AC116" s="5">
        <v>2</v>
      </c>
      <c r="AD116" s="5">
        <v>10</v>
      </c>
      <c r="AE116" s="5">
        <v>5.0000000000000001E-3</v>
      </c>
      <c r="AF116" s="5">
        <v>5.0000000000000001E-3</v>
      </c>
      <c r="AG116" s="5">
        <v>1000</v>
      </c>
      <c r="AH116" s="5">
        <v>-1.5</v>
      </c>
      <c r="AI116" s="5">
        <v>1.5</v>
      </c>
      <c r="AJ116" s="45">
        <v>0</v>
      </c>
      <c r="AK116" s="45">
        <v>0</v>
      </c>
      <c r="AL116" s="45">
        <v>0</v>
      </c>
      <c r="AM116" s="23">
        <v>0</v>
      </c>
      <c r="AN116" s="23">
        <v>0</v>
      </c>
      <c r="AO116" s="23">
        <v>0</v>
      </c>
      <c r="AP116" s="23">
        <v>0</v>
      </c>
      <c r="AQ116" s="23">
        <v>0</v>
      </c>
      <c r="AR116" s="23">
        <v>0</v>
      </c>
      <c r="AS116" s="25">
        <v>0</v>
      </c>
      <c r="AT116" s="54">
        <v>0</v>
      </c>
      <c r="AU116" s="52">
        <v>0</v>
      </c>
      <c r="AV116" s="52">
        <v>0</v>
      </c>
      <c r="AW116" s="52">
        <v>0</v>
      </c>
      <c r="AX116" s="38">
        <v>0</v>
      </c>
      <c r="AY116" s="38">
        <v>0</v>
      </c>
      <c r="AZ116" s="38">
        <v>0</v>
      </c>
      <c r="BA116" s="38">
        <v>0</v>
      </c>
      <c r="BB116" s="38">
        <v>0</v>
      </c>
      <c r="BC116" s="38">
        <v>0</v>
      </c>
      <c r="BD116" s="38">
        <v>0</v>
      </c>
      <c r="BE116" s="38">
        <v>0</v>
      </c>
      <c r="BF116" s="38">
        <v>0</v>
      </c>
      <c r="BG116" s="38">
        <v>0</v>
      </c>
      <c r="BH116" s="40">
        <v>2</v>
      </c>
      <c r="BI116" s="40" t="s">
        <v>1416</v>
      </c>
      <c r="BJ116" s="40">
        <v>0</v>
      </c>
    </row>
    <row r="117" spans="1:62" x14ac:dyDescent="0.25">
      <c r="A117" s="6">
        <v>93</v>
      </c>
      <c r="B117" s="6" t="s">
        <v>1725</v>
      </c>
      <c r="C117" s="6" t="s">
        <v>1358</v>
      </c>
      <c r="D117" s="6" t="s">
        <v>1359</v>
      </c>
      <c r="E117" s="6" t="s">
        <v>1358</v>
      </c>
      <c r="F117" s="6" t="s">
        <v>63</v>
      </c>
      <c r="G117" s="17">
        <v>44187.974687499998</v>
      </c>
      <c r="H117" s="21">
        <v>8</v>
      </c>
      <c r="I117" s="4">
        <f t="shared" si="4"/>
        <v>44188.308020833334</v>
      </c>
      <c r="J117" s="3">
        <v>422870</v>
      </c>
      <c r="K117" s="3">
        <v>13710</v>
      </c>
      <c r="L117" s="3">
        <f>J117*K117^2/2/4.184/10^12</f>
        <v>9.4986112532265761</v>
      </c>
      <c r="M117" s="3">
        <v>171.8</v>
      </c>
      <c r="N117" s="3">
        <v>85.1</v>
      </c>
      <c r="O117" s="3" t="s">
        <v>1334</v>
      </c>
      <c r="P117" s="3">
        <v>31.9</v>
      </c>
      <c r="Q117" s="3">
        <v>96.2</v>
      </c>
      <c r="R117" s="3">
        <v>35500</v>
      </c>
      <c r="S117" s="3">
        <v>35500</v>
      </c>
      <c r="T117" s="3">
        <v>6</v>
      </c>
      <c r="U117" s="3">
        <v>85.1</v>
      </c>
      <c r="V117" s="3">
        <v>30000</v>
      </c>
      <c r="W117" s="3" t="s">
        <v>144</v>
      </c>
      <c r="X117" s="3" t="s">
        <v>382</v>
      </c>
      <c r="Y117" s="3">
        <v>0</v>
      </c>
      <c r="Z117" s="3">
        <v>40000</v>
      </c>
      <c r="AA117" s="3">
        <v>40000</v>
      </c>
      <c r="AB117" s="5">
        <v>1000</v>
      </c>
      <c r="AC117" s="5">
        <v>2</v>
      </c>
      <c r="AD117" s="5">
        <v>2</v>
      </c>
      <c r="AE117" s="5">
        <v>0.05</v>
      </c>
      <c r="AF117" s="5">
        <v>0.05</v>
      </c>
      <c r="AG117" s="5">
        <v>1000</v>
      </c>
      <c r="AH117" s="5">
        <v>-1.5</v>
      </c>
      <c r="AI117" s="5">
        <v>1.5</v>
      </c>
      <c r="AJ117" s="45">
        <v>0</v>
      </c>
      <c r="AK117" s="45">
        <v>0</v>
      </c>
      <c r="AL117" s="45">
        <v>0</v>
      </c>
      <c r="AM117" s="23">
        <v>0</v>
      </c>
      <c r="AN117" s="23">
        <v>0</v>
      </c>
      <c r="AO117" s="23">
        <v>0</v>
      </c>
      <c r="AP117" s="23">
        <v>0</v>
      </c>
      <c r="AQ117" s="23">
        <v>0</v>
      </c>
      <c r="AR117" s="23">
        <v>0</v>
      </c>
      <c r="AS117" s="25">
        <v>0</v>
      </c>
      <c r="AT117" s="54">
        <v>0</v>
      </c>
      <c r="AU117" s="52">
        <v>0</v>
      </c>
      <c r="AV117" s="52">
        <v>0</v>
      </c>
      <c r="AW117" s="52">
        <v>0</v>
      </c>
      <c r="AX117" s="38">
        <v>0</v>
      </c>
      <c r="AY117" s="38">
        <v>0</v>
      </c>
      <c r="AZ117" s="38">
        <v>0</v>
      </c>
      <c r="BA117" s="38">
        <v>0</v>
      </c>
      <c r="BB117" s="38">
        <v>0</v>
      </c>
      <c r="BC117" s="38">
        <v>0</v>
      </c>
      <c r="BD117" s="38">
        <v>0</v>
      </c>
      <c r="BE117" s="38">
        <v>0</v>
      </c>
      <c r="BF117" s="38">
        <v>0</v>
      </c>
      <c r="BG117" s="38">
        <v>0</v>
      </c>
      <c r="BH117" s="40">
        <v>2</v>
      </c>
      <c r="BI117" s="40" t="s">
        <v>1416</v>
      </c>
      <c r="BJ117" s="40">
        <v>0</v>
      </c>
    </row>
    <row r="118" spans="1:62" x14ac:dyDescent="0.25">
      <c r="A118" s="6">
        <v>174</v>
      </c>
      <c r="B118" s="6" t="s">
        <v>1799</v>
      </c>
      <c r="C118" s="6" t="s">
        <v>1573</v>
      </c>
      <c r="D118" s="6" t="s">
        <v>1573</v>
      </c>
      <c r="E118" s="6" t="s">
        <v>1595</v>
      </c>
      <c r="F118" s="6" t="s">
        <v>1025</v>
      </c>
      <c r="G118" s="17">
        <v>44214.013148148151</v>
      </c>
      <c r="H118" s="21">
        <v>1</v>
      </c>
      <c r="I118" s="4">
        <f t="shared" si="4"/>
        <v>44214.054814814815</v>
      </c>
      <c r="J118" s="3">
        <v>2620</v>
      </c>
      <c r="P118" s="3">
        <v>42.871167</v>
      </c>
      <c r="Q118" s="3">
        <v>-7.3230000000000004</v>
      </c>
      <c r="W118" s="3" t="s">
        <v>115</v>
      </c>
      <c r="X118" s="3" t="s">
        <v>244</v>
      </c>
      <c r="AH118" s="5">
        <v>-1.5</v>
      </c>
      <c r="AI118" s="5">
        <v>1.5</v>
      </c>
      <c r="AJ118" s="45">
        <v>0</v>
      </c>
      <c r="AK118" s="45">
        <v>0</v>
      </c>
      <c r="AL118" s="45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3">
        <v>0</v>
      </c>
      <c r="AS118" s="25">
        <v>0</v>
      </c>
      <c r="AT118" s="54">
        <v>0</v>
      </c>
      <c r="AU118" s="52">
        <v>0</v>
      </c>
      <c r="AV118" s="52">
        <v>0</v>
      </c>
      <c r="AW118" s="52">
        <v>0</v>
      </c>
      <c r="AX118" s="38">
        <v>0</v>
      </c>
      <c r="AY118" s="38">
        <v>139</v>
      </c>
      <c r="AZ118" s="38">
        <v>0</v>
      </c>
      <c r="BA118" s="38">
        <v>0</v>
      </c>
      <c r="BB118" s="38">
        <v>0</v>
      </c>
      <c r="BC118" s="38">
        <v>0</v>
      </c>
      <c r="BD118" s="38">
        <v>138</v>
      </c>
      <c r="BE118" s="38">
        <v>0</v>
      </c>
      <c r="BF118" s="38">
        <v>0</v>
      </c>
      <c r="BG118" s="38">
        <v>0</v>
      </c>
      <c r="BH118" s="40">
        <v>0</v>
      </c>
      <c r="BI118" s="40" t="s">
        <v>1416</v>
      </c>
      <c r="BJ118" s="40">
        <v>0</v>
      </c>
    </row>
    <row r="119" spans="1:62" x14ac:dyDescent="0.25">
      <c r="A119" s="6">
        <v>100</v>
      </c>
      <c r="B119" s="6" t="s">
        <v>1731</v>
      </c>
      <c r="C119" s="6" t="s">
        <v>1375</v>
      </c>
      <c r="D119" s="6" t="s">
        <v>1376</v>
      </c>
      <c r="E119" s="6" t="s">
        <v>1375</v>
      </c>
      <c r="F119" s="6" t="s">
        <v>746</v>
      </c>
      <c r="G119" s="17">
        <v>44229.418993055559</v>
      </c>
      <c r="H119" s="21">
        <v>5</v>
      </c>
      <c r="I119" s="4">
        <f t="shared" si="4"/>
        <v>44229.627326388894</v>
      </c>
      <c r="J119" s="3">
        <v>5651</v>
      </c>
      <c r="K119" s="3">
        <v>12760</v>
      </c>
      <c r="L119" s="3">
        <f t="shared" ref="L119:L162" si="6">J119*K119^2/2/4.184/10^12</f>
        <v>0.10995246864244741</v>
      </c>
      <c r="M119" s="3">
        <v>246.4</v>
      </c>
      <c r="N119" s="3">
        <v>25.8</v>
      </c>
      <c r="O119" s="3" t="s">
        <v>1334</v>
      </c>
      <c r="P119" s="3">
        <v>48.7</v>
      </c>
      <c r="Q119" s="3">
        <v>80.099999999999994</v>
      </c>
      <c r="R119" s="3">
        <v>20000</v>
      </c>
      <c r="S119" s="3">
        <v>20000</v>
      </c>
      <c r="T119" s="3">
        <v>6000</v>
      </c>
      <c r="U119" s="3">
        <v>25.8</v>
      </c>
      <c r="V119" s="3">
        <v>15000</v>
      </c>
      <c r="W119" s="3" t="s">
        <v>144</v>
      </c>
      <c r="X119" s="3" t="s">
        <v>382</v>
      </c>
      <c r="Y119" s="3">
        <v>0</v>
      </c>
      <c r="Z119" s="3">
        <v>60000</v>
      </c>
      <c r="AA119" s="3">
        <v>60000</v>
      </c>
      <c r="AB119" s="5">
        <v>1000</v>
      </c>
      <c r="AC119" s="5">
        <v>2</v>
      </c>
      <c r="AD119" s="5">
        <v>2</v>
      </c>
      <c r="AE119" s="5">
        <v>0.05</v>
      </c>
      <c r="AF119" s="5">
        <v>0.05</v>
      </c>
      <c r="AG119" s="5">
        <v>1000</v>
      </c>
      <c r="AH119" s="5">
        <v>-1.5</v>
      </c>
      <c r="AI119" s="5">
        <v>1.5</v>
      </c>
      <c r="AJ119" s="45">
        <v>0</v>
      </c>
      <c r="AK119" s="45">
        <v>0</v>
      </c>
      <c r="AL119" s="45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5">
        <v>0</v>
      </c>
      <c r="AT119" s="54">
        <v>0</v>
      </c>
      <c r="AU119" s="52">
        <v>0</v>
      </c>
      <c r="AV119" s="52">
        <v>0</v>
      </c>
      <c r="AW119" s="52">
        <v>0</v>
      </c>
      <c r="AX119" s="38">
        <v>0</v>
      </c>
      <c r="AY119" s="38">
        <v>0</v>
      </c>
      <c r="AZ119" s="38">
        <v>0</v>
      </c>
      <c r="BA119" s="38">
        <v>0</v>
      </c>
      <c r="BB119" s="38">
        <v>0</v>
      </c>
      <c r="BC119" s="38">
        <v>0</v>
      </c>
      <c r="BD119" s="38">
        <v>0</v>
      </c>
      <c r="BE119" s="38">
        <v>0</v>
      </c>
      <c r="BF119" s="38">
        <v>0</v>
      </c>
      <c r="BG119" s="38">
        <v>0</v>
      </c>
      <c r="BH119" s="40">
        <v>3</v>
      </c>
      <c r="BI119" s="40" t="s">
        <v>1416</v>
      </c>
      <c r="BJ119" s="40">
        <v>0</v>
      </c>
    </row>
    <row r="120" spans="1:62" x14ac:dyDescent="0.25">
      <c r="A120" s="6">
        <v>97</v>
      </c>
      <c r="B120" s="6" t="s">
        <v>1728</v>
      </c>
      <c r="C120" s="6" t="s">
        <v>1369</v>
      </c>
      <c r="D120" s="6" t="s">
        <v>1367</v>
      </c>
      <c r="E120" s="6" t="s">
        <v>1368</v>
      </c>
      <c r="F120" s="6" t="s">
        <v>103</v>
      </c>
      <c r="G120" s="17">
        <v>44236.977418981478</v>
      </c>
      <c r="H120" s="21">
        <v>-6</v>
      </c>
      <c r="I120" s="4">
        <f t="shared" si="4"/>
        <v>44236.727418981478</v>
      </c>
      <c r="J120" s="3">
        <v>4842</v>
      </c>
      <c r="K120" s="3">
        <v>13150</v>
      </c>
      <c r="L120" s="3">
        <f t="shared" si="6"/>
        <v>0.10005864543499043</v>
      </c>
      <c r="M120" s="3">
        <v>301.2</v>
      </c>
      <c r="N120" s="3">
        <v>29.3</v>
      </c>
      <c r="O120" s="3" t="s">
        <v>1334</v>
      </c>
      <c r="P120" s="3">
        <v>75.8</v>
      </c>
      <c r="Q120" s="3">
        <v>-92.8</v>
      </c>
      <c r="R120" s="3">
        <v>31000</v>
      </c>
      <c r="S120" s="3">
        <v>31000</v>
      </c>
      <c r="T120" s="3">
        <v>13150</v>
      </c>
      <c r="U120" s="3">
        <v>29.3</v>
      </c>
      <c r="V120" s="3">
        <v>15000</v>
      </c>
      <c r="W120" s="3" t="s">
        <v>144</v>
      </c>
      <c r="X120" s="3" t="s">
        <v>382</v>
      </c>
      <c r="Y120" s="3">
        <v>0</v>
      </c>
      <c r="Z120" s="3">
        <v>60000</v>
      </c>
      <c r="AA120" s="3">
        <v>60000</v>
      </c>
      <c r="AB120" s="5">
        <v>700</v>
      </c>
      <c r="AC120" s="5">
        <v>2</v>
      </c>
      <c r="AD120" s="5">
        <v>2</v>
      </c>
      <c r="AE120" s="5">
        <v>0.05</v>
      </c>
      <c r="AF120" s="5">
        <v>0.05</v>
      </c>
      <c r="AG120" s="5">
        <v>1000</v>
      </c>
      <c r="AH120" s="5">
        <v>-1.5</v>
      </c>
      <c r="AI120" s="5">
        <v>1.5</v>
      </c>
      <c r="AJ120" s="45">
        <v>0</v>
      </c>
      <c r="AK120" s="45">
        <v>0</v>
      </c>
      <c r="AL120" s="45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5">
        <v>0</v>
      </c>
      <c r="AT120" s="54">
        <v>0</v>
      </c>
      <c r="AU120" s="52">
        <v>0</v>
      </c>
      <c r="AV120" s="52">
        <v>0</v>
      </c>
      <c r="AW120" s="52">
        <v>0</v>
      </c>
      <c r="AX120" s="38">
        <v>0</v>
      </c>
      <c r="AY120" s="38">
        <v>0</v>
      </c>
      <c r="AZ120" s="38">
        <v>0</v>
      </c>
      <c r="BA120" s="38">
        <v>0</v>
      </c>
      <c r="BB120" s="38">
        <v>0</v>
      </c>
      <c r="BC120" s="38">
        <v>0</v>
      </c>
      <c r="BD120" s="38">
        <v>0</v>
      </c>
      <c r="BE120" s="38">
        <v>0</v>
      </c>
      <c r="BF120" s="38">
        <v>0</v>
      </c>
      <c r="BG120" s="38">
        <v>0</v>
      </c>
      <c r="BH120" s="40">
        <v>2</v>
      </c>
      <c r="BI120" s="40" t="s">
        <v>1416</v>
      </c>
      <c r="BJ120" s="40">
        <v>0</v>
      </c>
    </row>
    <row r="121" spans="1:62" x14ac:dyDescent="0.25">
      <c r="A121" s="6">
        <v>94</v>
      </c>
      <c r="B121" s="6" t="s">
        <v>1726</v>
      </c>
      <c r="C121" s="6" t="s">
        <v>1362</v>
      </c>
      <c r="D121" s="6" t="s">
        <v>1362</v>
      </c>
      <c r="E121" s="6" t="s">
        <v>1363</v>
      </c>
      <c r="F121" s="6" t="s">
        <v>4</v>
      </c>
      <c r="G121" s="17">
        <v>44252.095289351855</v>
      </c>
      <c r="H121" s="21">
        <v>-6</v>
      </c>
      <c r="I121" s="4">
        <f t="shared" si="4"/>
        <v>44251.845289351855</v>
      </c>
      <c r="J121" s="3">
        <v>50</v>
      </c>
      <c r="K121" s="3">
        <v>26300</v>
      </c>
      <c r="L121" s="3">
        <f t="shared" si="6"/>
        <v>4.1329469407265776E-3</v>
      </c>
      <c r="M121" s="3">
        <v>179.9</v>
      </c>
      <c r="N121" s="3">
        <v>75</v>
      </c>
      <c r="O121" s="3" t="s">
        <v>1334</v>
      </c>
      <c r="P121" s="3">
        <v>33.264729000000003</v>
      </c>
      <c r="Q121" s="3">
        <v>-92.284068000000005</v>
      </c>
      <c r="R121" s="3">
        <v>50000</v>
      </c>
      <c r="S121" s="3">
        <v>51000</v>
      </c>
      <c r="T121" s="3">
        <v>20000</v>
      </c>
      <c r="U121" s="3">
        <v>80</v>
      </c>
      <c r="V121" s="3">
        <v>50000</v>
      </c>
      <c r="W121" s="3" t="s">
        <v>144</v>
      </c>
      <c r="X121" s="3" t="s">
        <v>382</v>
      </c>
      <c r="Y121" s="3">
        <v>0</v>
      </c>
      <c r="Z121" s="3">
        <v>60000</v>
      </c>
      <c r="AA121" s="3">
        <v>60000</v>
      </c>
      <c r="AB121" s="5">
        <v>400</v>
      </c>
      <c r="AC121" s="5">
        <v>2</v>
      </c>
      <c r="AD121" s="5">
        <v>5</v>
      </c>
      <c r="AE121" s="5">
        <v>0.02</v>
      </c>
      <c r="AF121" s="5">
        <v>0.03</v>
      </c>
      <c r="AG121" s="5">
        <v>5000</v>
      </c>
      <c r="AH121" s="5">
        <v>-1.5</v>
      </c>
      <c r="AI121" s="5">
        <v>1.5</v>
      </c>
      <c r="AJ121" s="45">
        <v>0</v>
      </c>
      <c r="AK121" s="45">
        <v>0</v>
      </c>
      <c r="AL121" s="45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5">
        <v>0</v>
      </c>
      <c r="AT121" s="54">
        <v>0</v>
      </c>
      <c r="AU121" s="52">
        <v>0</v>
      </c>
      <c r="AV121" s="52">
        <v>0</v>
      </c>
      <c r="AW121" s="52">
        <v>0</v>
      </c>
      <c r="AX121" s="38">
        <v>0</v>
      </c>
      <c r="AY121" s="38">
        <v>0</v>
      </c>
      <c r="AZ121" s="38">
        <v>0</v>
      </c>
      <c r="BA121" s="38">
        <v>0</v>
      </c>
      <c r="BB121" s="38">
        <v>0</v>
      </c>
      <c r="BC121" s="38">
        <v>0</v>
      </c>
      <c r="BD121" s="38">
        <v>0</v>
      </c>
      <c r="BE121" s="38">
        <v>0</v>
      </c>
      <c r="BF121" s="38">
        <v>0</v>
      </c>
      <c r="BG121" s="38">
        <v>0</v>
      </c>
      <c r="BH121" s="40">
        <v>2</v>
      </c>
      <c r="BI121" s="40" t="s">
        <v>1416</v>
      </c>
      <c r="BJ121" s="40">
        <v>0</v>
      </c>
    </row>
    <row r="122" spans="1:62" x14ac:dyDescent="0.25">
      <c r="A122" s="6">
        <v>95</v>
      </c>
      <c r="B122" s="6" t="s">
        <v>1727</v>
      </c>
      <c r="C122" s="6" t="s">
        <v>1365</v>
      </c>
      <c r="D122" s="6" t="s">
        <v>1364</v>
      </c>
      <c r="E122" s="6" t="s">
        <v>5</v>
      </c>
      <c r="F122" s="6" t="s">
        <v>4</v>
      </c>
      <c r="G122" s="17">
        <v>44254.129907407405</v>
      </c>
      <c r="H122" s="21">
        <v>-5</v>
      </c>
      <c r="I122" s="4">
        <f t="shared" si="4"/>
        <v>44253.921574074069</v>
      </c>
      <c r="J122" s="3">
        <v>10</v>
      </c>
      <c r="K122" s="3">
        <v>29400</v>
      </c>
      <c r="L122" s="3">
        <f t="shared" si="6"/>
        <v>1.0329349904397705E-3</v>
      </c>
      <c r="M122" s="3">
        <v>310.58999999999997</v>
      </c>
      <c r="N122" s="3">
        <v>54.19</v>
      </c>
      <c r="O122" s="3" t="s">
        <v>1334</v>
      </c>
      <c r="P122" s="3">
        <v>42.716000000000001</v>
      </c>
      <c r="Q122" s="3">
        <v>-82.668000000000006</v>
      </c>
      <c r="R122" s="3">
        <v>31700</v>
      </c>
      <c r="S122" s="3">
        <v>31700</v>
      </c>
      <c r="T122" s="3">
        <v>29400</v>
      </c>
      <c r="U122" s="3">
        <v>53.4786</v>
      </c>
      <c r="V122" s="3">
        <v>31700</v>
      </c>
      <c r="W122" s="3" t="s">
        <v>144</v>
      </c>
      <c r="X122" s="3" t="s">
        <v>382</v>
      </c>
      <c r="Y122" s="3">
        <v>0</v>
      </c>
      <c r="Z122" s="3">
        <v>60000</v>
      </c>
      <c r="AA122" s="3">
        <v>60000</v>
      </c>
      <c r="AB122" s="5">
        <v>500</v>
      </c>
      <c r="AC122" s="5">
        <v>2.4</v>
      </c>
      <c r="AD122" s="5">
        <v>1.9</v>
      </c>
      <c r="AE122" s="5">
        <v>0.01</v>
      </c>
      <c r="AF122" s="5">
        <v>0.01</v>
      </c>
      <c r="AG122" s="5">
        <v>1000</v>
      </c>
      <c r="AH122" s="5">
        <v>-1.5</v>
      </c>
      <c r="AI122" s="5">
        <v>1.5</v>
      </c>
      <c r="AJ122" s="45">
        <v>0</v>
      </c>
      <c r="AK122" s="45">
        <v>0</v>
      </c>
      <c r="AL122" s="45">
        <v>0</v>
      </c>
      <c r="AM122" s="23">
        <v>0</v>
      </c>
      <c r="AN122" s="23">
        <v>0</v>
      </c>
      <c r="AO122" s="23">
        <v>0</v>
      </c>
      <c r="AP122" s="23">
        <v>0</v>
      </c>
      <c r="AQ122" s="23">
        <v>0</v>
      </c>
      <c r="AR122" s="23">
        <v>0</v>
      </c>
      <c r="AS122" s="25">
        <v>0</v>
      </c>
      <c r="AT122" s="54">
        <v>0</v>
      </c>
      <c r="AU122" s="52">
        <v>0</v>
      </c>
      <c r="AV122" s="52">
        <v>0</v>
      </c>
      <c r="AW122" s="52">
        <v>0</v>
      </c>
      <c r="AX122" s="38">
        <v>0</v>
      </c>
      <c r="AY122" s="38">
        <v>0</v>
      </c>
      <c r="AZ122" s="38">
        <v>0</v>
      </c>
      <c r="BA122" s="38">
        <v>0</v>
      </c>
      <c r="BB122" s="38">
        <v>0</v>
      </c>
      <c r="BC122" s="38">
        <v>0</v>
      </c>
      <c r="BD122" s="38">
        <v>0</v>
      </c>
      <c r="BE122" s="38">
        <v>0</v>
      </c>
      <c r="BF122" s="38">
        <v>0</v>
      </c>
      <c r="BG122" s="38">
        <v>0</v>
      </c>
      <c r="BH122" s="40">
        <v>2</v>
      </c>
      <c r="BI122" s="40" t="s">
        <v>1416</v>
      </c>
      <c r="BJ122" s="40">
        <v>0</v>
      </c>
    </row>
    <row r="123" spans="1:62" x14ac:dyDescent="0.25">
      <c r="A123" s="6">
        <v>95</v>
      </c>
      <c r="B123" s="6" t="s">
        <v>1727</v>
      </c>
      <c r="C123" s="6" t="s">
        <v>1366</v>
      </c>
      <c r="D123" s="6" t="s">
        <v>1364</v>
      </c>
      <c r="E123" s="6" t="s">
        <v>5</v>
      </c>
      <c r="F123" s="6" t="s">
        <v>4</v>
      </c>
      <c r="G123" s="17">
        <v>44254.129907407405</v>
      </c>
      <c r="H123" s="21">
        <v>-5</v>
      </c>
      <c r="I123" s="4">
        <f t="shared" si="4"/>
        <v>44253.921574074069</v>
      </c>
      <c r="J123" s="3">
        <v>0.1</v>
      </c>
      <c r="K123" s="3">
        <v>50</v>
      </c>
      <c r="L123" s="3">
        <f t="shared" si="6"/>
        <v>2.9875717017208414E-11</v>
      </c>
      <c r="M123" s="3">
        <v>310.58999999999997</v>
      </c>
      <c r="N123" s="3">
        <v>0</v>
      </c>
      <c r="O123" s="3" t="s">
        <v>1334</v>
      </c>
      <c r="P123" s="3">
        <v>42.817433000000001</v>
      </c>
      <c r="Q123" s="3">
        <v>-82.645071000000002</v>
      </c>
      <c r="R123" s="3">
        <v>1350</v>
      </c>
      <c r="S123" s="3">
        <v>1350</v>
      </c>
      <c r="T123" s="3">
        <v>50</v>
      </c>
      <c r="U123" s="3">
        <v>0</v>
      </c>
      <c r="V123" s="3">
        <v>1100</v>
      </c>
      <c r="W123" s="3" t="s">
        <v>144</v>
      </c>
      <c r="X123" s="3" t="s">
        <v>382</v>
      </c>
      <c r="Y123" s="3">
        <v>0</v>
      </c>
      <c r="Z123" s="3">
        <v>1600</v>
      </c>
      <c r="AA123" s="3">
        <v>1600</v>
      </c>
      <c r="AB123" s="5">
        <v>30</v>
      </c>
      <c r="AC123" s="5">
        <v>2</v>
      </c>
      <c r="AD123" s="5">
        <v>1</v>
      </c>
      <c r="AE123" s="5">
        <v>1.0999999999999999E-2</v>
      </c>
      <c r="AF123" s="5">
        <v>6.4000000000000003E-3</v>
      </c>
      <c r="AG123" s="5">
        <v>400</v>
      </c>
      <c r="AH123" s="5">
        <v>-1</v>
      </c>
      <c r="AI123" s="5">
        <v>1</v>
      </c>
      <c r="AJ123" s="45">
        <v>0</v>
      </c>
      <c r="AK123" s="45">
        <v>0</v>
      </c>
      <c r="AL123" s="45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3">
        <v>0</v>
      </c>
      <c r="AS123" s="25">
        <v>0</v>
      </c>
      <c r="AT123" s="54">
        <v>0</v>
      </c>
      <c r="AU123" s="52">
        <v>0</v>
      </c>
      <c r="AV123" s="52">
        <v>0</v>
      </c>
      <c r="AW123" s="52">
        <v>0</v>
      </c>
      <c r="AX123" s="38">
        <v>0</v>
      </c>
      <c r="AY123" s="38">
        <v>0</v>
      </c>
      <c r="AZ123" s="38">
        <v>0</v>
      </c>
      <c r="BA123" s="38">
        <v>0</v>
      </c>
      <c r="BB123" s="38">
        <v>0</v>
      </c>
      <c r="BC123" s="38">
        <v>0</v>
      </c>
      <c r="BD123" s="38">
        <v>0</v>
      </c>
      <c r="BE123" s="38">
        <v>0</v>
      </c>
      <c r="BF123" s="38">
        <v>0</v>
      </c>
      <c r="BG123" s="38">
        <v>0</v>
      </c>
      <c r="BH123" s="40">
        <v>2</v>
      </c>
      <c r="BI123" s="40" t="s">
        <v>1416</v>
      </c>
      <c r="BJ123" s="40">
        <v>0</v>
      </c>
    </row>
    <row r="124" spans="1:62" x14ac:dyDescent="0.25">
      <c r="A124" s="6">
        <v>98</v>
      </c>
      <c r="B124" s="6" t="s">
        <v>1729</v>
      </c>
      <c r="C124" s="6" t="s">
        <v>1372</v>
      </c>
      <c r="D124" s="6" t="s">
        <v>1372</v>
      </c>
      <c r="E124" s="6" t="s">
        <v>1370</v>
      </c>
      <c r="F124" s="6" t="s">
        <v>1371</v>
      </c>
      <c r="G124" s="17">
        <v>44255.91269675926</v>
      </c>
      <c r="H124" s="21">
        <v>0</v>
      </c>
      <c r="I124" s="4">
        <f t="shared" si="4"/>
        <v>44255.91269675926</v>
      </c>
      <c r="J124" s="3">
        <v>5</v>
      </c>
      <c r="K124" s="3">
        <v>10600</v>
      </c>
      <c r="L124" s="3">
        <f t="shared" si="6"/>
        <v>6.7136711281070733E-5</v>
      </c>
      <c r="M124" s="3">
        <v>83.5</v>
      </c>
      <c r="N124" s="3">
        <v>60</v>
      </c>
      <c r="O124" s="3" t="s">
        <v>1334</v>
      </c>
      <c r="P124" s="3">
        <v>51.945</v>
      </c>
      <c r="Q124" s="3">
        <v>-2.1309999999999998</v>
      </c>
      <c r="R124" s="3">
        <v>29500</v>
      </c>
      <c r="S124" s="3">
        <v>29000</v>
      </c>
      <c r="T124" s="3">
        <v>6000</v>
      </c>
      <c r="U124" s="3">
        <v>60</v>
      </c>
      <c r="V124" s="3">
        <v>29000</v>
      </c>
      <c r="W124" s="3" t="s">
        <v>111</v>
      </c>
      <c r="X124" s="3" t="s">
        <v>382</v>
      </c>
      <c r="Y124" s="3">
        <v>0</v>
      </c>
      <c r="Z124" s="3">
        <v>60000</v>
      </c>
      <c r="AA124" s="3">
        <v>60000</v>
      </c>
      <c r="AB124" s="5">
        <v>1000</v>
      </c>
      <c r="AC124" s="5">
        <v>2</v>
      </c>
      <c r="AD124" s="5">
        <v>5</v>
      </c>
      <c r="AE124" s="5">
        <v>7.0000000000000001E-3</v>
      </c>
      <c r="AF124" s="5">
        <v>8.0000000000000002E-3</v>
      </c>
      <c r="AG124" s="5">
        <v>1500</v>
      </c>
      <c r="AH124" s="5">
        <v>-1.5</v>
      </c>
      <c r="AI124" s="5">
        <v>1.5</v>
      </c>
      <c r="AJ124" s="45">
        <v>0</v>
      </c>
      <c r="AK124" s="45">
        <v>0</v>
      </c>
      <c r="AL124" s="45">
        <v>0</v>
      </c>
      <c r="AM124" s="23">
        <v>0</v>
      </c>
      <c r="AN124" s="23">
        <v>1</v>
      </c>
      <c r="AO124" s="23">
        <v>0.3</v>
      </c>
      <c r="AP124" s="23">
        <v>300</v>
      </c>
      <c r="AQ124" s="23">
        <v>0</v>
      </c>
      <c r="AR124" s="23">
        <v>0</v>
      </c>
      <c r="AS124" s="25">
        <v>0</v>
      </c>
      <c r="AT124" s="54">
        <v>0</v>
      </c>
      <c r="AU124" s="52">
        <v>0</v>
      </c>
      <c r="AV124" s="52">
        <v>0</v>
      </c>
      <c r="AW124" s="52">
        <v>0</v>
      </c>
      <c r="AX124" s="38">
        <v>0</v>
      </c>
      <c r="AY124" s="38">
        <v>0</v>
      </c>
      <c r="AZ124" s="38">
        <v>0</v>
      </c>
      <c r="BA124" s="38">
        <v>0</v>
      </c>
      <c r="BB124" s="38">
        <v>0</v>
      </c>
      <c r="BC124" s="38">
        <v>0</v>
      </c>
      <c r="BD124" s="38">
        <v>0</v>
      </c>
      <c r="BE124" s="38">
        <v>0</v>
      </c>
      <c r="BF124" s="38">
        <v>0</v>
      </c>
      <c r="BG124" s="38">
        <v>0</v>
      </c>
      <c r="BH124" s="40">
        <v>3</v>
      </c>
      <c r="BI124" s="40" t="s">
        <v>1416</v>
      </c>
      <c r="BJ124" s="40">
        <v>1</v>
      </c>
    </row>
    <row r="125" spans="1:62" x14ac:dyDescent="0.25">
      <c r="A125" s="6">
        <v>99</v>
      </c>
      <c r="B125" s="6" t="s">
        <v>1730</v>
      </c>
      <c r="C125" s="6" t="s">
        <v>1373</v>
      </c>
      <c r="D125" s="6" t="s">
        <v>1374</v>
      </c>
      <c r="E125" s="6" t="s">
        <v>1373</v>
      </c>
      <c r="F125" s="6" t="s">
        <v>433</v>
      </c>
      <c r="G125" s="17">
        <v>44260.57640046296</v>
      </c>
      <c r="H125" s="21">
        <v>13</v>
      </c>
      <c r="I125" s="4">
        <f t="shared" si="4"/>
        <v>44261.118067129624</v>
      </c>
      <c r="J125" s="3">
        <v>2010</v>
      </c>
      <c r="K125" s="3">
        <v>23260</v>
      </c>
      <c r="L125" s="3">
        <f t="shared" si="6"/>
        <v>0.12995524330783939</v>
      </c>
      <c r="M125" s="3">
        <v>178.9</v>
      </c>
      <c r="N125" s="3">
        <v>25.5</v>
      </c>
      <c r="O125" s="3" t="s">
        <v>1334</v>
      </c>
      <c r="P125" s="3">
        <v>-81.099999999999994</v>
      </c>
      <c r="Q125" s="3">
        <v>141.1</v>
      </c>
      <c r="R125" s="3">
        <v>32500</v>
      </c>
      <c r="S125" s="3">
        <v>32500</v>
      </c>
      <c r="T125" s="3">
        <v>6000</v>
      </c>
      <c r="U125" s="3">
        <v>25.5</v>
      </c>
      <c r="V125" s="3">
        <v>30000</v>
      </c>
      <c r="W125" s="3" t="s">
        <v>144</v>
      </c>
      <c r="X125" s="3" t="s">
        <v>382</v>
      </c>
      <c r="Y125" s="3">
        <v>0</v>
      </c>
      <c r="Z125" s="3">
        <v>60000</v>
      </c>
      <c r="AA125" s="3">
        <v>60000</v>
      </c>
      <c r="AB125" s="5">
        <v>1000</v>
      </c>
      <c r="AC125" s="5">
        <v>2</v>
      </c>
      <c r="AD125" s="5">
        <v>2</v>
      </c>
      <c r="AE125" s="5">
        <v>0.05</v>
      </c>
      <c r="AF125" s="5">
        <v>0.05</v>
      </c>
      <c r="AG125" s="5">
        <v>1000</v>
      </c>
      <c r="AH125" s="5">
        <v>-1.5</v>
      </c>
      <c r="AI125" s="5">
        <v>1.5</v>
      </c>
      <c r="AJ125" s="45">
        <v>0</v>
      </c>
      <c r="AK125" s="45">
        <v>0</v>
      </c>
      <c r="AL125" s="45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5">
        <v>0</v>
      </c>
      <c r="AT125" s="54">
        <v>0</v>
      </c>
      <c r="AU125" s="52">
        <v>0</v>
      </c>
      <c r="AV125" s="52">
        <v>0</v>
      </c>
      <c r="AW125" s="52">
        <v>0</v>
      </c>
      <c r="AX125" s="38">
        <v>0</v>
      </c>
      <c r="AY125" s="38">
        <v>0</v>
      </c>
      <c r="AZ125" s="38">
        <v>0</v>
      </c>
      <c r="BA125" s="38">
        <v>0</v>
      </c>
      <c r="BB125" s="38">
        <v>0</v>
      </c>
      <c r="BC125" s="38">
        <v>0</v>
      </c>
      <c r="BD125" s="38">
        <v>0</v>
      </c>
      <c r="BE125" s="38">
        <v>0</v>
      </c>
      <c r="BF125" s="38">
        <v>0</v>
      </c>
      <c r="BG125" s="38">
        <v>0</v>
      </c>
      <c r="BH125" s="40">
        <v>2</v>
      </c>
      <c r="BI125" s="40" t="s">
        <v>1416</v>
      </c>
      <c r="BJ125" s="40">
        <v>0</v>
      </c>
    </row>
    <row r="126" spans="1:62" x14ac:dyDescent="0.25">
      <c r="A126" s="6">
        <v>102</v>
      </c>
      <c r="B126" s="6" t="s">
        <v>1733</v>
      </c>
      <c r="C126" s="6" t="s">
        <v>1381</v>
      </c>
      <c r="D126" s="6" t="s">
        <v>1381</v>
      </c>
      <c r="E126" s="6" t="s">
        <v>1383</v>
      </c>
      <c r="F126" s="6" t="s">
        <v>731</v>
      </c>
      <c r="G126" s="17">
        <v>44270.331250000003</v>
      </c>
      <c r="H126" s="21">
        <v>1</v>
      </c>
      <c r="I126" s="4">
        <f t="shared" si="4"/>
        <v>44270.372916666667</v>
      </c>
      <c r="J126" s="3">
        <v>10</v>
      </c>
      <c r="K126" s="3">
        <v>14000</v>
      </c>
      <c r="L126" s="3">
        <f t="shared" si="6"/>
        <v>2.3422562141491395E-4</v>
      </c>
      <c r="M126" s="3">
        <v>0</v>
      </c>
      <c r="N126" s="3">
        <v>6</v>
      </c>
      <c r="O126" s="3" t="s">
        <v>1334</v>
      </c>
      <c r="P126" s="3">
        <v>41.604999999999997</v>
      </c>
      <c r="Q126" s="3">
        <v>14.185</v>
      </c>
      <c r="R126" s="3">
        <v>19800</v>
      </c>
      <c r="S126" s="3">
        <v>19800</v>
      </c>
      <c r="T126" s="3">
        <v>4000</v>
      </c>
      <c r="U126" s="3">
        <v>6</v>
      </c>
      <c r="V126" s="3">
        <v>19500</v>
      </c>
      <c r="W126" s="3" t="s">
        <v>144</v>
      </c>
      <c r="X126" s="3" t="s">
        <v>382</v>
      </c>
      <c r="Y126" s="3">
        <v>0</v>
      </c>
      <c r="Z126" s="3">
        <v>60000</v>
      </c>
      <c r="AA126" s="3">
        <v>60000</v>
      </c>
      <c r="AB126" s="5">
        <v>1000</v>
      </c>
      <c r="AC126" s="5">
        <v>2</v>
      </c>
      <c r="AD126" s="5">
        <v>1</v>
      </c>
      <c r="AE126" s="5">
        <v>5.0000000000000001E-3</v>
      </c>
      <c r="AF126" s="5">
        <v>5.0000000000000001E-3</v>
      </c>
      <c r="AG126" s="5">
        <v>1000</v>
      </c>
      <c r="AH126" s="5">
        <v>-1.5</v>
      </c>
      <c r="AI126" s="5">
        <v>1.5</v>
      </c>
      <c r="AJ126" s="45">
        <v>0</v>
      </c>
      <c r="AK126" s="45">
        <v>0</v>
      </c>
      <c r="AL126" s="45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3">
        <v>0</v>
      </c>
      <c r="AS126" s="25">
        <v>0</v>
      </c>
      <c r="AT126" s="54">
        <v>0</v>
      </c>
      <c r="AU126" s="52">
        <v>0</v>
      </c>
      <c r="AV126" s="52">
        <v>0</v>
      </c>
      <c r="AW126" s="52">
        <v>0</v>
      </c>
      <c r="AX126" s="38">
        <v>0</v>
      </c>
      <c r="AY126" s="38">
        <v>0</v>
      </c>
      <c r="AZ126" s="38">
        <v>0</v>
      </c>
      <c r="BA126" s="38">
        <v>0</v>
      </c>
      <c r="BB126" s="38">
        <v>0</v>
      </c>
      <c r="BC126" s="38">
        <v>0</v>
      </c>
      <c r="BD126" s="38">
        <v>0</v>
      </c>
      <c r="BE126" s="38">
        <v>0</v>
      </c>
      <c r="BF126" s="38">
        <v>0</v>
      </c>
      <c r="BG126" s="38">
        <v>0</v>
      </c>
      <c r="BH126" s="40">
        <v>3</v>
      </c>
      <c r="BI126" s="40" t="s">
        <v>1416</v>
      </c>
      <c r="BJ126" s="40">
        <v>0</v>
      </c>
    </row>
    <row r="127" spans="1:62" x14ac:dyDescent="0.25">
      <c r="A127" s="6">
        <v>101</v>
      </c>
      <c r="B127" s="6" t="s">
        <v>1732</v>
      </c>
      <c r="C127" s="6" t="s">
        <v>1382</v>
      </c>
      <c r="D127" s="6" t="s">
        <v>1382</v>
      </c>
      <c r="E127" s="6" t="s">
        <v>1353</v>
      </c>
      <c r="F127" s="6" t="s">
        <v>1040</v>
      </c>
      <c r="G127" s="17">
        <v>44271.756793981483</v>
      </c>
      <c r="H127" s="21">
        <v>1</v>
      </c>
      <c r="I127" s="4">
        <f t="shared" si="4"/>
        <v>44271.798460648148</v>
      </c>
      <c r="J127" s="3">
        <v>50</v>
      </c>
      <c r="K127" s="3">
        <v>12900</v>
      </c>
      <c r="L127" s="3">
        <f t="shared" si="6"/>
        <v>9.9432361376673023E-4</v>
      </c>
      <c r="M127" s="3">
        <v>141.27000000000001</v>
      </c>
      <c r="N127" s="3">
        <v>64.069999999999993</v>
      </c>
      <c r="O127" s="3" t="s">
        <v>1334</v>
      </c>
      <c r="P127" s="3">
        <v>60.41</v>
      </c>
      <c r="Q127" s="3">
        <v>18.088000000000001</v>
      </c>
      <c r="R127" s="3">
        <v>29900</v>
      </c>
      <c r="S127" s="3">
        <v>29900</v>
      </c>
      <c r="T127" s="3">
        <v>6000</v>
      </c>
      <c r="U127" s="3">
        <f>N127</f>
        <v>64.069999999999993</v>
      </c>
      <c r="V127" s="3">
        <v>29000</v>
      </c>
      <c r="W127" s="3" t="s">
        <v>144</v>
      </c>
      <c r="X127" s="3" t="s">
        <v>382</v>
      </c>
      <c r="Y127" s="3">
        <v>0</v>
      </c>
      <c r="Z127" s="3">
        <v>60000</v>
      </c>
      <c r="AA127" s="3">
        <v>60000</v>
      </c>
      <c r="AB127" s="5">
        <v>1000</v>
      </c>
      <c r="AC127" s="5">
        <v>1.1000000000000001</v>
      </c>
      <c r="AD127" s="5">
        <v>2.5</v>
      </c>
      <c r="AE127" s="5">
        <v>5.0000000000000001E-3</v>
      </c>
      <c r="AF127" s="5">
        <v>5.0000000000000001E-3</v>
      </c>
      <c r="AG127" s="5">
        <v>1000</v>
      </c>
      <c r="AH127" s="5">
        <v>-1.5</v>
      </c>
      <c r="AI127" s="5">
        <v>1.5</v>
      </c>
      <c r="AJ127" s="45">
        <v>0</v>
      </c>
      <c r="AK127" s="45">
        <v>0</v>
      </c>
      <c r="AL127" s="45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3">
        <v>0</v>
      </c>
      <c r="AS127" s="25">
        <v>0</v>
      </c>
      <c r="AT127" s="54">
        <v>0</v>
      </c>
      <c r="AU127" s="52">
        <v>0</v>
      </c>
      <c r="AV127" s="52">
        <v>0</v>
      </c>
      <c r="AW127" s="52">
        <v>0</v>
      </c>
      <c r="AX127" s="38">
        <v>0</v>
      </c>
      <c r="AY127" s="38">
        <v>0</v>
      </c>
      <c r="AZ127" s="38">
        <v>0</v>
      </c>
      <c r="BA127" s="38">
        <v>0</v>
      </c>
      <c r="BB127" s="38">
        <v>0</v>
      </c>
      <c r="BC127" s="38">
        <v>0</v>
      </c>
      <c r="BD127" s="38">
        <v>0</v>
      </c>
      <c r="BE127" s="38">
        <v>0</v>
      </c>
      <c r="BF127" s="38">
        <v>0</v>
      </c>
      <c r="BG127" s="38">
        <v>0</v>
      </c>
      <c r="BH127" s="40">
        <v>3</v>
      </c>
      <c r="BI127" s="40" t="s">
        <v>1416</v>
      </c>
      <c r="BJ127" s="40">
        <v>0</v>
      </c>
    </row>
    <row r="128" spans="1:62" x14ac:dyDescent="0.25">
      <c r="A128" s="6">
        <v>121</v>
      </c>
      <c r="B128" s="6" t="s">
        <v>1751</v>
      </c>
      <c r="C128" s="6" t="s">
        <v>1436</v>
      </c>
      <c r="D128" s="6" t="s">
        <v>1436</v>
      </c>
      <c r="E128" s="6" t="s">
        <v>1227</v>
      </c>
      <c r="F128" s="6" t="s">
        <v>4</v>
      </c>
      <c r="G128" s="17">
        <v>44287.459074074075</v>
      </c>
      <c r="H128" s="21">
        <v>-7</v>
      </c>
      <c r="I128" s="4">
        <f t="shared" si="4"/>
        <v>44287.167407407411</v>
      </c>
      <c r="J128" s="3">
        <v>10</v>
      </c>
      <c r="K128" s="3">
        <v>14010</v>
      </c>
      <c r="L128" s="3">
        <f t="shared" si="6"/>
        <v>2.3456034894837476E-4</v>
      </c>
      <c r="M128" s="3">
        <v>92</v>
      </c>
      <c r="N128" s="3">
        <v>14</v>
      </c>
      <c r="O128" s="3" t="s">
        <v>1334</v>
      </c>
      <c r="P128" s="3">
        <v>31.705424000000001</v>
      </c>
      <c r="Q128" s="3">
        <v>-110.08614300000001</v>
      </c>
      <c r="R128" s="3">
        <v>16401</v>
      </c>
      <c r="S128" s="3">
        <v>16041</v>
      </c>
      <c r="T128" s="3">
        <v>14010</v>
      </c>
      <c r="U128" s="3">
        <v>17</v>
      </c>
      <c r="V128" s="3">
        <v>16401</v>
      </c>
      <c r="W128" s="3" t="s">
        <v>1433</v>
      </c>
      <c r="X128" s="3" t="s">
        <v>382</v>
      </c>
      <c r="Y128" s="3">
        <v>3050</v>
      </c>
      <c r="Z128" s="3">
        <v>60000</v>
      </c>
      <c r="AA128" s="3">
        <v>60000</v>
      </c>
      <c r="AB128" s="5">
        <v>0</v>
      </c>
      <c r="AC128" s="5">
        <v>0</v>
      </c>
      <c r="AD128" s="5">
        <v>0</v>
      </c>
      <c r="AE128" s="5">
        <v>0</v>
      </c>
      <c r="AF128" s="5">
        <v>0</v>
      </c>
      <c r="AG128" s="5">
        <v>0</v>
      </c>
      <c r="AH128" s="5">
        <v>-0.1</v>
      </c>
      <c r="AI128" s="5">
        <v>0.1</v>
      </c>
      <c r="AJ128" s="45">
        <v>0</v>
      </c>
      <c r="AK128" s="45">
        <v>0</v>
      </c>
      <c r="AL128" s="45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3">
        <v>0</v>
      </c>
      <c r="AS128" s="25">
        <v>0</v>
      </c>
      <c r="AT128" s="54">
        <v>0</v>
      </c>
      <c r="AU128" s="52">
        <v>0</v>
      </c>
      <c r="AV128" s="52">
        <v>0</v>
      </c>
      <c r="AW128" s="52">
        <v>0</v>
      </c>
      <c r="AX128" s="38">
        <v>0</v>
      </c>
      <c r="AY128" s="38">
        <v>0</v>
      </c>
      <c r="AZ128" s="38">
        <v>0</v>
      </c>
      <c r="BA128" s="38">
        <v>0</v>
      </c>
      <c r="BB128" s="38">
        <v>0</v>
      </c>
      <c r="BC128" s="38">
        <v>0</v>
      </c>
      <c r="BD128" s="38">
        <v>3</v>
      </c>
      <c r="BE128" s="38">
        <v>0</v>
      </c>
      <c r="BF128" s="38">
        <v>0</v>
      </c>
      <c r="BG128" s="38">
        <v>0</v>
      </c>
      <c r="BH128" s="40">
        <v>4</v>
      </c>
      <c r="BI128" s="40" t="s">
        <v>1416</v>
      </c>
      <c r="BJ128" s="40">
        <v>1</v>
      </c>
    </row>
    <row r="129" spans="1:62" x14ac:dyDescent="0.25">
      <c r="A129" s="6">
        <v>105</v>
      </c>
      <c r="B129" s="6" t="s">
        <v>1736</v>
      </c>
      <c r="C129" s="6" t="s">
        <v>1392</v>
      </c>
      <c r="D129" s="6" t="s">
        <v>1392</v>
      </c>
      <c r="E129" s="6" t="s">
        <v>1393</v>
      </c>
      <c r="F129" s="6" t="s">
        <v>100</v>
      </c>
      <c r="G129" s="17">
        <v>44322.246145833335</v>
      </c>
      <c r="H129" s="21">
        <v>9.5</v>
      </c>
      <c r="I129" s="4">
        <f t="shared" si="4"/>
        <v>44322.64197916667</v>
      </c>
      <c r="J129" s="3">
        <v>897</v>
      </c>
      <c r="K129" s="3">
        <v>26620</v>
      </c>
      <c r="L129" s="3">
        <f t="shared" si="6"/>
        <v>7.5960335420650088E-2</v>
      </c>
      <c r="M129" s="3">
        <v>142.38800000000001</v>
      </c>
      <c r="N129" s="3">
        <v>52.68</v>
      </c>
      <c r="O129" s="3" t="s">
        <v>1270</v>
      </c>
      <c r="P129" s="3">
        <v>-34.700000000000003</v>
      </c>
      <c r="Q129" s="3">
        <v>141</v>
      </c>
      <c r="R129" s="3">
        <v>31000</v>
      </c>
      <c r="S129" s="3">
        <v>31000</v>
      </c>
      <c r="T129" s="3">
        <v>26620</v>
      </c>
      <c r="U129" s="3">
        <v>52.7</v>
      </c>
      <c r="V129" s="3">
        <v>20000</v>
      </c>
      <c r="W129" s="3" t="s">
        <v>144</v>
      </c>
      <c r="X129" s="3" t="s">
        <v>382</v>
      </c>
      <c r="Y129" s="3">
        <v>0</v>
      </c>
      <c r="Z129" s="3">
        <v>60000</v>
      </c>
      <c r="AA129" s="3">
        <v>60000</v>
      </c>
      <c r="AB129" s="5">
        <v>1000</v>
      </c>
      <c r="AC129" s="5">
        <v>2</v>
      </c>
      <c r="AD129" s="5">
        <v>2</v>
      </c>
      <c r="AE129" s="5">
        <v>0.05</v>
      </c>
      <c r="AF129" s="5">
        <v>0.05</v>
      </c>
      <c r="AG129" s="5">
        <v>1000</v>
      </c>
      <c r="AH129" s="5">
        <v>-1.5</v>
      </c>
      <c r="AI129" s="5">
        <v>1.5</v>
      </c>
      <c r="AJ129" s="45">
        <v>0</v>
      </c>
      <c r="AK129" s="45">
        <v>0</v>
      </c>
      <c r="AL129" s="45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0</v>
      </c>
      <c r="AR129" s="23">
        <v>0</v>
      </c>
      <c r="AS129" s="25">
        <v>0</v>
      </c>
      <c r="AT129" s="54">
        <v>0</v>
      </c>
      <c r="AU129" s="52">
        <v>0</v>
      </c>
      <c r="AV129" s="52">
        <v>0</v>
      </c>
      <c r="AW129" s="52">
        <v>0</v>
      </c>
      <c r="AX129" s="38">
        <v>0</v>
      </c>
      <c r="AY129" s="38">
        <v>0</v>
      </c>
      <c r="AZ129" s="38">
        <v>0</v>
      </c>
      <c r="BA129" s="38">
        <v>0</v>
      </c>
      <c r="BB129" s="38">
        <v>0</v>
      </c>
      <c r="BC129" s="38">
        <v>0</v>
      </c>
      <c r="BD129" s="38">
        <v>0</v>
      </c>
      <c r="BE129" s="38">
        <v>0</v>
      </c>
      <c r="BF129" s="38">
        <v>0</v>
      </c>
      <c r="BG129" s="38">
        <v>0</v>
      </c>
      <c r="BH129" s="40">
        <v>2</v>
      </c>
      <c r="BI129" s="40" t="s">
        <v>1416</v>
      </c>
      <c r="BJ129" s="40">
        <v>0</v>
      </c>
    </row>
    <row r="130" spans="1:62" x14ac:dyDescent="0.25">
      <c r="A130" s="6">
        <v>107</v>
      </c>
      <c r="B130" s="6" t="s">
        <v>1738</v>
      </c>
      <c r="C130" s="6" t="s">
        <v>1395</v>
      </c>
      <c r="D130" s="6" t="s">
        <v>1396</v>
      </c>
      <c r="E130" s="6" t="s">
        <v>1397</v>
      </c>
      <c r="F130" s="6" t="s">
        <v>895</v>
      </c>
      <c r="G130" s="17">
        <v>44401.964456018519</v>
      </c>
      <c r="H130" s="21">
        <v>2</v>
      </c>
      <c r="I130" s="4">
        <f t="shared" si="4"/>
        <v>44402.047789351855</v>
      </c>
      <c r="J130" s="3">
        <v>100</v>
      </c>
      <c r="K130" s="3">
        <v>14500</v>
      </c>
      <c r="L130" s="3">
        <f t="shared" si="6"/>
        <v>2.5125478011472271E-3</v>
      </c>
      <c r="M130" s="3">
        <v>222</v>
      </c>
      <c r="N130" s="3">
        <v>62.9</v>
      </c>
      <c r="O130" s="3" t="s">
        <v>1334</v>
      </c>
      <c r="P130" s="3">
        <v>59.908000000000001</v>
      </c>
      <c r="Q130" s="3">
        <v>10.207000000000001</v>
      </c>
      <c r="R130" s="3">
        <v>23500</v>
      </c>
      <c r="S130" s="3">
        <v>23500</v>
      </c>
      <c r="T130" s="3">
        <v>14500</v>
      </c>
      <c r="U130" s="3">
        <v>62.9</v>
      </c>
      <c r="V130" s="3">
        <v>23500</v>
      </c>
      <c r="W130" s="3" t="s">
        <v>144</v>
      </c>
      <c r="X130" s="3" t="s">
        <v>382</v>
      </c>
      <c r="Y130" s="3">
        <v>0</v>
      </c>
      <c r="Z130" s="3">
        <v>60000</v>
      </c>
      <c r="AA130" s="3">
        <v>60000</v>
      </c>
      <c r="AB130" s="5">
        <v>500</v>
      </c>
      <c r="AC130" s="5">
        <v>0.2</v>
      </c>
      <c r="AD130" s="5">
        <v>0.2</v>
      </c>
      <c r="AE130" s="5">
        <v>5.0000000000000001E-3</v>
      </c>
      <c r="AF130" s="5">
        <v>5.0000000000000001E-3</v>
      </c>
      <c r="AG130" s="5">
        <v>500</v>
      </c>
      <c r="AH130" s="5">
        <v>-1.5</v>
      </c>
      <c r="AI130" s="5">
        <v>1.5</v>
      </c>
      <c r="AJ130" s="45">
        <v>0</v>
      </c>
      <c r="AK130" s="45">
        <v>0</v>
      </c>
      <c r="AL130" s="45">
        <v>0</v>
      </c>
      <c r="AM130" s="23">
        <v>0</v>
      </c>
      <c r="AN130" s="23">
        <v>0</v>
      </c>
      <c r="AO130" s="23">
        <v>0</v>
      </c>
      <c r="AP130" s="23">
        <v>0</v>
      </c>
      <c r="AQ130" s="23">
        <v>0</v>
      </c>
      <c r="AR130" s="23">
        <v>0</v>
      </c>
      <c r="AS130" s="25">
        <v>0</v>
      </c>
      <c r="AT130" s="54">
        <v>0</v>
      </c>
      <c r="AU130" s="52">
        <v>0</v>
      </c>
      <c r="AV130" s="52">
        <v>0</v>
      </c>
      <c r="AW130" s="52">
        <v>0</v>
      </c>
      <c r="AX130" s="38">
        <v>0</v>
      </c>
      <c r="AY130" s="38">
        <v>0</v>
      </c>
      <c r="AZ130" s="38">
        <v>0</v>
      </c>
      <c r="BA130" s="38">
        <v>0</v>
      </c>
      <c r="BB130" s="38">
        <v>0</v>
      </c>
      <c r="BC130" s="38">
        <v>0</v>
      </c>
      <c r="BD130" s="38">
        <v>0</v>
      </c>
      <c r="BE130" s="38">
        <v>0</v>
      </c>
      <c r="BF130" s="38">
        <v>0</v>
      </c>
      <c r="BG130" s="38">
        <v>0</v>
      </c>
      <c r="BH130" s="40">
        <v>3</v>
      </c>
      <c r="BI130" s="40" t="s">
        <v>1416</v>
      </c>
      <c r="BJ130" s="40">
        <v>0</v>
      </c>
    </row>
    <row r="131" spans="1:62" x14ac:dyDescent="0.25">
      <c r="A131" s="6">
        <v>108</v>
      </c>
      <c r="B131" s="6" t="s">
        <v>1739</v>
      </c>
      <c r="C131" s="6" t="s">
        <v>1399</v>
      </c>
      <c r="D131" s="6" t="s">
        <v>1398</v>
      </c>
      <c r="E131" s="6" t="s">
        <v>1390</v>
      </c>
      <c r="F131" s="6" t="s">
        <v>4</v>
      </c>
      <c r="G131" s="17">
        <v>44403.081250000003</v>
      </c>
      <c r="H131" s="21">
        <v>-5</v>
      </c>
      <c r="I131" s="4">
        <f t="shared" si="4"/>
        <v>44402.872916666667</v>
      </c>
      <c r="J131" s="3">
        <v>10</v>
      </c>
      <c r="K131" s="3">
        <v>13000</v>
      </c>
      <c r="L131" s="3">
        <f t="shared" si="6"/>
        <v>2.0195984703632886E-4</v>
      </c>
      <c r="M131" s="3">
        <v>43.5</v>
      </c>
      <c r="N131" s="3">
        <v>47.9</v>
      </c>
      <c r="O131" s="3" t="s">
        <v>1334</v>
      </c>
      <c r="P131" s="3">
        <v>33.261947999999997</v>
      </c>
      <c r="Q131" s="3">
        <v>-95.167147999999997</v>
      </c>
      <c r="R131" s="3">
        <v>28500</v>
      </c>
      <c r="S131" s="3">
        <v>28500</v>
      </c>
      <c r="T131" s="3">
        <v>13250</v>
      </c>
      <c r="U131" s="3">
        <v>47.9</v>
      </c>
      <c r="V131" s="3">
        <v>25000</v>
      </c>
      <c r="W131" s="3" t="s">
        <v>144</v>
      </c>
      <c r="X131" s="3" t="s">
        <v>382</v>
      </c>
      <c r="Y131" s="3">
        <v>0</v>
      </c>
      <c r="Z131" s="3">
        <v>60000</v>
      </c>
      <c r="AA131" s="3">
        <v>60000</v>
      </c>
      <c r="AB131" s="5">
        <v>2000</v>
      </c>
      <c r="AC131" s="5">
        <v>6.5</v>
      </c>
      <c r="AD131" s="5">
        <v>5.0999999999999996</v>
      </c>
      <c r="AE131" s="5">
        <v>1.7000000000000001E-2</v>
      </c>
      <c r="AF131" s="5">
        <v>0.05</v>
      </c>
      <c r="AG131" s="5">
        <v>2500</v>
      </c>
      <c r="AH131" s="5">
        <v>-1.5</v>
      </c>
      <c r="AI131" s="5">
        <v>1.5</v>
      </c>
      <c r="AJ131" s="45">
        <v>0</v>
      </c>
      <c r="AK131" s="45">
        <v>0</v>
      </c>
      <c r="AL131" s="45">
        <v>0</v>
      </c>
      <c r="AM131" s="23">
        <v>0</v>
      </c>
      <c r="AN131" s="23">
        <v>0</v>
      </c>
      <c r="AO131" s="23">
        <v>0</v>
      </c>
      <c r="AP131" s="23">
        <v>0</v>
      </c>
      <c r="AQ131" s="23">
        <v>0</v>
      </c>
      <c r="AR131" s="23">
        <v>0</v>
      </c>
      <c r="AS131" s="25">
        <v>0</v>
      </c>
      <c r="AT131" s="54">
        <v>0</v>
      </c>
      <c r="AU131" s="52">
        <v>0</v>
      </c>
      <c r="AV131" s="52">
        <v>0</v>
      </c>
      <c r="AW131" s="52">
        <v>0</v>
      </c>
      <c r="AX131" s="38">
        <v>0</v>
      </c>
      <c r="AY131" s="38">
        <v>0</v>
      </c>
      <c r="AZ131" s="38">
        <v>0</v>
      </c>
      <c r="BA131" s="38">
        <v>0</v>
      </c>
      <c r="BB131" s="38">
        <v>0</v>
      </c>
      <c r="BC131" s="38">
        <v>0</v>
      </c>
      <c r="BD131" s="38">
        <v>0</v>
      </c>
      <c r="BE131" s="38">
        <v>0</v>
      </c>
      <c r="BF131" s="38">
        <v>0</v>
      </c>
      <c r="BG131" s="38">
        <v>0</v>
      </c>
      <c r="BH131" s="40">
        <v>3</v>
      </c>
      <c r="BI131" s="40" t="s">
        <v>1416</v>
      </c>
      <c r="BJ131" s="40">
        <v>0</v>
      </c>
    </row>
    <row r="132" spans="1:62" x14ac:dyDescent="0.25">
      <c r="A132" s="6">
        <v>109</v>
      </c>
      <c r="B132" s="6" t="s">
        <v>1740</v>
      </c>
      <c r="C132" s="6" t="s">
        <v>1400</v>
      </c>
      <c r="D132" s="6" t="s">
        <v>1401</v>
      </c>
      <c r="E132" s="6" t="s">
        <v>1402</v>
      </c>
      <c r="F132" s="6" t="s">
        <v>63</v>
      </c>
      <c r="G132" s="17">
        <v>44406.555520833332</v>
      </c>
      <c r="H132" s="21">
        <v>8</v>
      </c>
      <c r="I132" s="4">
        <f t="shared" si="4"/>
        <v>44406.888854166667</v>
      </c>
      <c r="J132" s="3">
        <v>5066</v>
      </c>
      <c r="K132" s="3">
        <v>14650</v>
      </c>
      <c r="L132" s="3">
        <f t="shared" si="6"/>
        <v>0.12993278979445505</v>
      </c>
      <c r="M132" s="3">
        <v>64.599999999999994</v>
      </c>
      <c r="N132" s="3">
        <v>14.5</v>
      </c>
      <c r="O132" s="3" t="s">
        <v>1334</v>
      </c>
      <c r="P132" s="3">
        <v>42.440792000000002</v>
      </c>
      <c r="Q132" s="3">
        <v>98.362661000000003</v>
      </c>
      <c r="R132" s="3">
        <v>26400</v>
      </c>
      <c r="S132" s="3">
        <v>26400</v>
      </c>
      <c r="T132" s="3">
        <v>14650</v>
      </c>
      <c r="U132" s="3">
        <v>14.5</v>
      </c>
      <c r="V132" s="3">
        <v>10000</v>
      </c>
      <c r="W132" s="3" t="s">
        <v>144</v>
      </c>
      <c r="X132" s="3" t="s">
        <v>382</v>
      </c>
      <c r="Y132" s="3">
        <v>0</v>
      </c>
      <c r="Z132" s="3">
        <v>30000</v>
      </c>
      <c r="AA132" s="3">
        <v>30000</v>
      </c>
      <c r="AB132" s="5">
        <v>1000</v>
      </c>
      <c r="AC132" s="5">
        <v>2</v>
      </c>
      <c r="AD132" s="5">
        <v>2</v>
      </c>
      <c r="AE132" s="5">
        <v>0.01</v>
      </c>
      <c r="AF132" s="5">
        <v>0.01</v>
      </c>
      <c r="AG132" s="5">
        <v>1000</v>
      </c>
      <c r="AH132" s="5">
        <v>-1.5</v>
      </c>
      <c r="AI132" s="5">
        <v>1.5</v>
      </c>
      <c r="AJ132" s="45">
        <v>0</v>
      </c>
      <c r="AK132" s="45">
        <v>0</v>
      </c>
      <c r="AL132" s="45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5">
        <v>0</v>
      </c>
      <c r="AT132" s="54">
        <v>0</v>
      </c>
      <c r="AU132" s="52">
        <v>0</v>
      </c>
      <c r="AV132" s="52">
        <v>0</v>
      </c>
      <c r="AW132" s="52">
        <v>0</v>
      </c>
      <c r="AX132" s="38">
        <v>0</v>
      </c>
      <c r="AY132" s="38">
        <v>0</v>
      </c>
      <c r="AZ132" s="38">
        <v>0</v>
      </c>
      <c r="BA132" s="38">
        <v>0</v>
      </c>
      <c r="BB132" s="38">
        <v>0</v>
      </c>
      <c r="BC132" s="38">
        <v>0</v>
      </c>
      <c r="BD132" s="38">
        <v>0</v>
      </c>
      <c r="BE132" s="38">
        <v>0</v>
      </c>
      <c r="BF132" s="38">
        <v>0</v>
      </c>
      <c r="BG132" s="38">
        <v>0</v>
      </c>
      <c r="BH132" s="40">
        <v>2</v>
      </c>
      <c r="BI132" s="40" t="s">
        <v>1416</v>
      </c>
      <c r="BJ132" s="40">
        <v>0</v>
      </c>
    </row>
    <row r="133" spans="1:62" x14ac:dyDescent="0.25">
      <c r="A133" s="6">
        <v>110</v>
      </c>
      <c r="B133" s="6" t="s">
        <v>1741</v>
      </c>
      <c r="C133" s="6" t="s">
        <v>1404</v>
      </c>
      <c r="D133" s="6" t="s">
        <v>1403</v>
      </c>
      <c r="E133" s="6" t="s">
        <v>1332</v>
      </c>
      <c r="F133" s="6" t="s">
        <v>71</v>
      </c>
      <c r="G133" s="17">
        <v>44447.046956018516</v>
      </c>
      <c r="H133" s="21">
        <v>-3</v>
      </c>
      <c r="I133" s="4">
        <f t="shared" ref="I133:I164" si="7">G133+H133/24</f>
        <v>44446.921956018516</v>
      </c>
      <c r="J133" s="3">
        <v>50</v>
      </c>
      <c r="K133" s="3">
        <v>24020</v>
      </c>
      <c r="L133" s="3">
        <f t="shared" si="6"/>
        <v>3.4474211281070744E-3</v>
      </c>
      <c r="M133" s="3">
        <v>286.4572</v>
      </c>
      <c r="N133" s="3">
        <v>24.478400000000001</v>
      </c>
      <c r="O133" s="3" t="s">
        <v>1334</v>
      </c>
      <c r="P133" s="3">
        <v>-15.03518</v>
      </c>
      <c r="Q133" s="3">
        <v>-44.872199999999999</v>
      </c>
      <c r="R133" s="3">
        <v>26200</v>
      </c>
      <c r="S133" s="3">
        <v>26200</v>
      </c>
      <c r="T133" s="3">
        <v>24020</v>
      </c>
      <c r="U133" s="3">
        <v>24.478400000000001</v>
      </c>
      <c r="V133" s="3">
        <v>26200</v>
      </c>
      <c r="W133" s="3" t="s">
        <v>144</v>
      </c>
      <c r="X133" s="3" t="s">
        <v>382</v>
      </c>
      <c r="Y133" s="3">
        <v>0</v>
      </c>
      <c r="Z133" s="3">
        <v>60000</v>
      </c>
      <c r="AA133" s="3">
        <v>60000</v>
      </c>
      <c r="AB133" s="5">
        <v>1000</v>
      </c>
      <c r="AC133" s="5">
        <v>8.6999999999999993</v>
      </c>
      <c r="AD133" s="5">
        <v>3.5</v>
      </c>
      <c r="AE133" s="5">
        <v>0.01</v>
      </c>
      <c r="AF133" s="5">
        <v>0.01</v>
      </c>
      <c r="AG133" s="5">
        <v>1000</v>
      </c>
      <c r="AH133" s="5">
        <v>-1.5</v>
      </c>
      <c r="AI133" s="5">
        <v>1.5</v>
      </c>
      <c r="AJ133" s="45">
        <v>0</v>
      </c>
      <c r="AK133" s="45">
        <v>0</v>
      </c>
      <c r="AL133" s="45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3">
        <v>0</v>
      </c>
      <c r="AS133" s="25">
        <v>0</v>
      </c>
      <c r="AT133" s="54">
        <v>0</v>
      </c>
      <c r="AU133" s="52">
        <v>0</v>
      </c>
      <c r="AV133" s="52">
        <v>0</v>
      </c>
      <c r="AW133" s="52">
        <v>0</v>
      </c>
      <c r="AX133" s="38">
        <v>0</v>
      </c>
      <c r="AY133" s="38">
        <v>0</v>
      </c>
      <c r="AZ133" s="38">
        <v>0</v>
      </c>
      <c r="BA133" s="38">
        <v>0</v>
      </c>
      <c r="BB133" s="38">
        <v>0</v>
      </c>
      <c r="BC133" s="38">
        <v>0</v>
      </c>
      <c r="BD133" s="38">
        <v>0</v>
      </c>
      <c r="BE133" s="38">
        <v>0</v>
      </c>
      <c r="BF133" s="38">
        <v>0</v>
      </c>
      <c r="BG133" s="38">
        <v>0</v>
      </c>
      <c r="BH133" s="40">
        <v>3</v>
      </c>
      <c r="BI133" s="40" t="s">
        <v>1416</v>
      </c>
      <c r="BJ133" s="40">
        <v>0</v>
      </c>
    </row>
    <row r="134" spans="1:62" x14ac:dyDescent="0.25">
      <c r="A134" s="6">
        <v>111</v>
      </c>
      <c r="B134" s="6" t="s">
        <v>1742</v>
      </c>
      <c r="C134" s="6" t="s">
        <v>1405</v>
      </c>
      <c r="D134" s="6" t="s">
        <v>1405</v>
      </c>
      <c r="E134" s="6" t="s">
        <v>1406</v>
      </c>
      <c r="F134" s="6" t="s">
        <v>4</v>
      </c>
      <c r="G134" s="17">
        <v>44493.046041666668</v>
      </c>
      <c r="H134" s="21">
        <v>-4</v>
      </c>
      <c r="I134" s="4">
        <f t="shared" si="7"/>
        <v>44492.879375000004</v>
      </c>
      <c r="J134" s="3">
        <v>10</v>
      </c>
      <c r="K134" s="3">
        <v>18300</v>
      </c>
      <c r="L134" s="3">
        <f t="shared" si="6"/>
        <v>4.0020315487571698E-4</v>
      </c>
      <c r="M134" s="3">
        <v>303</v>
      </c>
      <c r="N134" s="3">
        <v>53</v>
      </c>
      <c r="O134" s="3" t="s">
        <v>1334</v>
      </c>
      <c r="P134" s="3">
        <v>35.590299999999999</v>
      </c>
      <c r="Q134" s="3">
        <v>-84.085899999999995</v>
      </c>
      <c r="R134" s="3">
        <v>23600</v>
      </c>
      <c r="S134" s="3">
        <v>23600</v>
      </c>
      <c r="T134" s="3">
        <v>18300</v>
      </c>
      <c r="U134" s="3">
        <v>53</v>
      </c>
      <c r="V134" s="3">
        <v>23600</v>
      </c>
      <c r="W134" s="3" t="s">
        <v>144</v>
      </c>
      <c r="X134" s="3" t="s">
        <v>382</v>
      </c>
      <c r="Y134" s="3">
        <v>0</v>
      </c>
      <c r="Z134" s="3">
        <v>60000</v>
      </c>
      <c r="AA134" s="3">
        <v>60000</v>
      </c>
      <c r="AB134" s="5">
        <v>500</v>
      </c>
      <c r="AC134" s="5">
        <v>2</v>
      </c>
      <c r="AD134" s="5">
        <v>2</v>
      </c>
      <c r="AE134" s="5">
        <v>0.01</v>
      </c>
      <c r="AF134" s="5">
        <v>0.01</v>
      </c>
      <c r="AG134" s="5">
        <v>1000</v>
      </c>
      <c r="AH134" s="5">
        <v>-1.5</v>
      </c>
      <c r="AI134" s="5">
        <v>1.5</v>
      </c>
      <c r="AJ134" s="45">
        <v>0</v>
      </c>
      <c r="AK134" s="45">
        <v>0</v>
      </c>
      <c r="AL134" s="45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5">
        <v>0</v>
      </c>
      <c r="AT134" s="54">
        <v>0</v>
      </c>
      <c r="AU134" s="52">
        <v>0</v>
      </c>
      <c r="AV134" s="52">
        <v>0</v>
      </c>
      <c r="AW134" s="52">
        <v>0</v>
      </c>
      <c r="AX134" s="38">
        <v>0</v>
      </c>
      <c r="AY134" s="38">
        <v>0</v>
      </c>
      <c r="AZ134" s="38">
        <v>0</v>
      </c>
      <c r="BA134" s="38">
        <v>0</v>
      </c>
      <c r="BB134" s="38">
        <v>0</v>
      </c>
      <c r="BC134" s="38">
        <v>0</v>
      </c>
      <c r="BD134" s="38">
        <v>0</v>
      </c>
      <c r="BE134" s="38">
        <v>0</v>
      </c>
      <c r="BF134" s="38">
        <v>0</v>
      </c>
      <c r="BG134" s="38">
        <v>0</v>
      </c>
      <c r="BH134" s="40">
        <v>3</v>
      </c>
      <c r="BI134" s="40" t="s">
        <v>1416</v>
      </c>
      <c r="BJ134" s="40">
        <v>0</v>
      </c>
    </row>
    <row r="135" spans="1:62" x14ac:dyDescent="0.25">
      <c r="A135" s="6">
        <v>112</v>
      </c>
      <c r="B135" s="6" t="s">
        <v>1743</v>
      </c>
      <c r="C135" s="6" t="s">
        <v>1410</v>
      </c>
      <c r="D135" s="6" t="s">
        <v>1407</v>
      </c>
      <c r="E135" s="6" t="s">
        <v>1408</v>
      </c>
      <c r="F135" s="6" t="s">
        <v>113</v>
      </c>
      <c r="G135" s="17">
        <v>44550.969386574077</v>
      </c>
      <c r="H135" s="21">
        <v>5</v>
      </c>
      <c r="I135" s="4">
        <f t="shared" si="7"/>
        <v>44551.177719907413</v>
      </c>
      <c r="J135" s="3">
        <v>2783</v>
      </c>
      <c r="K135" s="3">
        <v>18190</v>
      </c>
      <c r="L135" s="3">
        <f t="shared" si="6"/>
        <v>0.11004160926147227</v>
      </c>
      <c r="M135" s="3">
        <v>247.7</v>
      </c>
      <c r="N135" s="3">
        <v>47.8</v>
      </c>
      <c r="O135" s="3" t="s">
        <v>1409</v>
      </c>
      <c r="P135" s="3">
        <v>62.7</v>
      </c>
      <c r="Q135" s="3">
        <v>60.3</v>
      </c>
      <c r="R135" s="3">
        <v>56000</v>
      </c>
      <c r="S135" s="3">
        <v>56000</v>
      </c>
      <c r="T135" s="3">
        <v>18190</v>
      </c>
      <c r="U135" s="3">
        <v>47.8</v>
      </c>
      <c r="V135" s="3">
        <v>20000</v>
      </c>
      <c r="W135" s="3" t="s">
        <v>144</v>
      </c>
      <c r="X135" s="3" t="s">
        <v>382</v>
      </c>
      <c r="Y135" s="3">
        <v>0</v>
      </c>
      <c r="Z135" s="3">
        <v>85000</v>
      </c>
      <c r="AA135" s="3">
        <v>85000</v>
      </c>
      <c r="AB135" s="5">
        <v>750</v>
      </c>
      <c r="AC135" s="5">
        <v>2</v>
      </c>
      <c r="AD135" s="5">
        <v>5</v>
      </c>
      <c r="AE135" s="5">
        <v>0.05</v>
      </c>
      <c r="AF135" s="5">
        <v>0.05</v>
      </c>
      <c r="AG135" s="5">
        <v>1000</v>
      </c>
      <c r="AH135" s="5">
        <v>-1.5</v>
      </c>
      <c r="AI135" s="5">
        <v>1.5</v>
      </c>
      <c r="AJ135" s="45">
        <v>0</v>
      </c>
      <c r="AK135" s="45">
        <v>0</v>
      </c>
      <c r="AL135" s="45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3">
        <v>0</v>
      </c>
      <c r="AS135" s="25">
        <v>0</v>
      </c>
      <c r="AT135" s="54">
        <v>0</v>
      </c>
      <c r="AU135" s="52">
        <v>0</v>
      </c>
      <c r="AV135" s="52">
        <v>0</v>
      </c>
      <c r="AW135" s="52">
        <v>0</v>
      </c>
      <c r="AX135" s="38">
        <v>0</v>
      </c>
      <c r="AY135" s="38">
        <v>0</v>
      </c>
      <c r="AZ135" s="38">
        <v>0</v>
      </c>
      <c r="BA135" s="38">
        <v>0</v>
      </c>
      <c r="BB135" s="38">
        <v>0</v>
      </c>
      <c r="BC135" s="38">
        <v>0</v>
      </c>
      <c r="BD135" s="38">
        <v>0</v>
      </c>
      <c r="BE135" s="38">
        <v>0</v>
      </c>
      <c r="BF135" s="38">
        <v>0</v>
      </c>
      <c r="BG135" s="38">
        <v>0</v>
      </c>
      <c r="BH135" s="40">
        <v>2</v>
      </c>
      <c r="BI135" s="40" t="s">
        <v>1416</v>
      </c>
      <c r="BJ135" s="40">
        <v>0</v>
      </c>
    </row>
    <row r="136" spans="1:62" x14ac:dyDescent="0.25">
      <c r="A136" s="6">
        <v>120</v>
      </c>
      <c r="B136" s="6" t="s">
        <v>1750</v>
      </c>
      <c r="C136" s="6" t="s">
        <v>1434</v>
      </c>
      <c r="D136" s="6" t="s">
        <v>1435</v>
      </c>
      <c r="E136" s="6" t="s">
        <v>1434</v>
      </c>
      <c r="F136" s="6" t="s">
        <v>829</v>
      </c>
      <c r="G136" s="17">
        <v>44568.273611111108</v>
      </c>
      <c r="H136" s="21">
        <v>-6</v>
      </c>
      <c r="I136" s="4">
        <f t="shared" si="7"/>
        <v>44568.023611111108</v>
      </c>
      <c r="J136" s="3">
        <v>50</v>
      </c>
      <c r="K136" s="3">
        <v>20000</v>
      </c>
      <c r="L136" s="3">
        <f t="shared" si="6"/>
        <v>2.3900573613766726E-3</v>
      </c>
      <c r="M136" s="3">
        <v>0</v>
      </c>
      <c r="N136" s="3">
        <v>50</v>
      </c>
      <c r="O136" s="3" t="s">
        <v>1334</v>
      </c>
      <c r="P136" s="3">
        <v>21.3</v>
      </c>
      <c r="Q136" s="3">
        <v>-102.7</v>
      </c>
      <c r="R136" s="3">
        <v>30000</v>
      </c>
      <c r="S136" s="3">
        <v>30000</v>
      </c>
      <c r="T136" s="3">
        <v>20000</v>
      </c>
      <c r="U136" s="3">
        <v>50</v>
      </c>
      <c r="V136" s="3">
        <v>30000</v>
      </c>
      <c r="W136" s="3" t="s">
        <v>144</v>
      </c>
      <c r="X136" s="3" t="s">
        <v>382</v>
      </c>
      <c r="Y136" s="3">
        <v>0</v>
      </c>
      <c r="Z136" s="3">
        <v>60000</v>
      </c>
      <c r="AA136" s="3">
        <v>60000</v>
      </c>
      <c r="AB136" s="5">
        <v>1500</v>
      </c>
      <c r="AC136" s="5">
        <v>3</v>
      </c>
      <c r="AD136" s="5">
        <v>5</v>
      </c>
      <c r="AE136" s="5">
        <v>7.4999999999999997E-3</v>
      </c>
      <c r="AF136" s="5">
        <v>0.05</v>
      </c>
      <c r="AG136" s="5">
        <v>1000</v>
      </c>
      <c r="AH136" s="5">
        <v>-1.5</v>
      </c>
      <c r="AI136" s="5">
        <v>1.5</v>
      </c>
      <c r="AJ136" s="45">
        <v>0</v>
      </c>
      <c r="AK136" s="45">
        <v>0</v>
      </c>
      <c r="AL136" s="45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3">
        <v>0</v>
      </c>
      <c r="AS136" s="25">
        <v>0</v>
      </c>
      <c r="AT136" s="54">
        <v>0</v>
      </c>
      <c r="AU136" s="52">
        <v>0</v>
      </c>
      <c r="AV136" s="52">
        <v>0</v>
      </c>
      <c r="AW136" s="52">
        <v>0</v>
      </c>
      <c r="AX136" s="38">
        <v>0</v>
      </c>
      <c r="AY136" s="38">
        <v>0</v>
      </c>
      <c r="AZ136" s="38">
        <v>0</v>
      </c>
      <c r="BA136" s="38">
        <v>0</v>
      </c>
      <c r="BB136" s="38">
        <v>0</v>
      </c>
      <c r="BC136" s="38">
        <v>0</v>
      </c>
      <c r="BD136" s="38">
        <v>0</v>
      </c>
      <c r="BE136" s="38">
        <v>0</v>
      </c>
      <c r="BF136" s="38">
        <v>0</v>
      </c>
      <c r="BG136" s="38">
        <v>0</v>
      </c>
      <c r="BH136" s="40">
        <v>0</v>
      </c>
      <c r="BI136" s="40" t="s">
        <v>1416</v>
      </c>
      <c r="BJ136" s="40">
        <v>0</v>
      </c>
    </row>
    <row r="137" spans="1:62" x14ac:dyDescent="0.25">
      <c r="A137" s="6">
        <v>113</v>
      </c>
      <c r="B137" s="6" t="s">
        <v>1744</v>
      </c>
      <c r="C137" s="6" t="s">
        <v>1004</v>
      </c>
      <c r="D137" s="6" t="s">
        <v>1411</v>
      </c>
      <c r="E137" s="6" t="s">
        <v>1411</v>
      </c>
      <c r="F137" s="6" t="s">
        <v>1004</v>
      </c>
      <c r="G137" s="17">
        <v>44574.713171296295</v>
      </c>
      <c r="H137" s="21">
        <v>1</v>
      </c>
      <c r="I137" s="4">
        <f t="shared" si="7"/>
        <v>44574.754837962959</v>
      </c>
      <c r="J137" s="3">
        <v>10</v>
      </c>
      <c r="K137" s="3">
        <v>16000</v>
      </c>
      <c r="L137" s="3">
        <f t="shared" si="6"/>
        <v>3.0592734225621415E-4</v>
      </c>
      <c r="M137" s="3">
        <v>225.2</v>
      </c>
      <c r="N137" s="3">
        <v>66.900000000000006</v>
      </c>
      <c r="O137" s="3" t="s">
        <v>1334</v>
      </c>
      <c r="P137" s="3">
        <v>48.661099999999998</v>
      </c>
      <c r="Q137" s="3">
        <v>17.0884</v>
      </c>
      <c r="R137" s="3">
        <v>31560</v>
      </c>
      <c r="S137" s="3">
        <v>31560</v>
      </c>
      <c r="T137" s="3">
        <v>16000</v>
      </c>
      <c r="U137" s="3">
        <v>66.900000000000006</v>
      </c>
      <c r="V137" s="3">
        <v>31000</v>
      </c>
      <c r="W137" s="3" t="s">
        <v>144</v>
      </c>
      <c r="X137" s="3" t="s">
        <v>382</v>
      </c>
      <c r="Y137" s="3">
        <v>0</v>
      </c>
      <c r="Z137" s="3">
        <v>60000</v>
      </c>
      <c r="AA137" s="3">
        <v>60000</v>
      </c>
      <c r="AB137" s="5">
        <v>3000</v>
      </c>
      <c r="AC137" s="5">
        <v>2</v>
      </c>
      <c r="AD137" s="5">
        <v>10</v>
      </c>
      <c r="AE137" s="5">
        <v>0.05</v>
      </c>
      <c r="AF137" s="5">
        <v>0.05</v>
      </c>
      <c r="AG137" s="5">
        <v>1000</v>
      </c>
      <c r="AH137" s="5">
        <v>-1.5</v>
      </c>
      <c r="AI137" s="5">
        <v>1.5</v>
      </c>
      <c r="AJ137" s="45">
        <v>0</v>
      </c>
      <c r="AK137" s="45">
        <v>0</v>
      </c>
      <c r="AL137" s="45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5">
        <v>0</v>
      </c>
      <c r="AT137" s="54">
        <v>0</v>
      </c>
      <c r="AU137" s="52">
        <v>0</v>
      </c>
      <c r="AV137" s="52">
        <v>0</v>
      </c>
      <c r="AW137" s="52">
        <v>0</v>
      </c>
      <c r="AX137" s="38">
        <v>0</v>
      </c>
      <c r="AY137" s="38">
        <v>0</v>
      </c>
      <c r="AZ137" s="38">
        <v>0</v>
      </c>
      <c r="BA137" s="38">
        <v>0</v>
      </c>
      <c r="BB137" s="38">
        <v>0</v>
      </c>
      <c r="BC137" s="38">
        <v>0</v>
      </c>
      <c r="BD137" s="38">
        <v>0</v>
      </c>
      <c r="BE137" s="38">
        <v>0</v>
      </c>
      <c r="BF137" s="38">
        <v>0</v>
      </c>
      <c r="BG137" s="38">
        <v>0</v>
      </c>
      <c r="BH137" s="40">
        <v>1</v>
      </c>
      <c r="BI137" s="40" t="s">
        <v>1416</v>
      </c>
      <c r="BJ137" s="40">
        <v>0</v>
      </c>
    </row>
    <row r="138" spans="1:62" x14ac:dyDescent="0.25">
      <c r="A138" s="6">
        <v>114</v>
      </c>
      <c r="B138" s="6" t="s">
        <v>1745</v>
      </c>
      <c r="C138" s="6" t="s">
        <v>1412</v>
      </c>
      <c r="D138" s="6" t="s">
        <v>1412</v>
      </c>
      <c r="E138" s="6" t="s">
        <v>1332</v>
      </c>
      <c r="F138" s="6" t="s">
        <v>71</v>
      </c>
      <c r="G138" s="17">
        <v>44575.495138888888</v>
      </c>
      <c r="H138" s="21">
        <v>-3</v>
      </c>
      <c r="I138" s="4">
        <f t="shared" si="7"/>
        <v>44575.370138888888</v>
      </c>
      <c r="J138" s="3">
        <v>100</v>
      </c>
      <c r="K138" s="3">
        <v>12138</v>
      </c>
      <c r="L138" s="3">
        <f t="shared" si="6"/>
        <v>1.7606482313575525E-3</v>
      </c>
      <c r="M138" s="3">
        <v>101.9</v>
      </c>
      <c r="N138" s="3">
        <v>51.4</v>
      </c>
      <c r="O138" s="3" t="s">
        <v>1334</v>
      </c>
      <c r="P138" s="3">
        <v>-19.432189999999999</v>
      </c>
      <c r="Q138" s="3">
        <v>-47.110680000000002</v>
      </c>
      <c r="R138" s="3">
        <v>18300</v>
      </c>
      <c r="S138" s="3">
        <v>18300</v>
      </c>
      <c r="T138" s="3">
        <v>12138</v>
      </c>
      <c r="U138" s="3">
        <v>51.4</v>
      </c>
      <c r="V138" s="3">
        <v>18300</v>
      </c>
      <c r="W138" s="3" t="s">
        <v>144</v>
      </c>
      <c r="X138" s="3" t="s">
        <v>382</v>
      </c>
      <c r="Y138" s="3">
        <v>0</v>
      </c>
      <c r="Z138" s="3">
        <v>60000</v>
      </c>
      <c r="AA138" s="3">
        <v>60000</v>
      </c>
      <c r="AB138" s="5">
        <v>30</v>
      </c>
      <c r="AC138" s="5">
        <v>0.1</v>
      </c>
      <c r="AD138" s="5">
        <v>0.01</v>
      </c>
      <c r="AE138" s="5">
        <v>1.0000000000000001E-5</v>
      </c>
      <c r="AF138" s="5">
        <v>1.0000000000000001E-5</v>
      </c>
      <c r="AG138" s="5">
        <v>10</v>
      </c>
      <c r="AH138" s="5">
        <v>-1.5</v>
      </c>
      <c r="AI138" s="5">
        <v>1.5</v>
      </c>
      <c r="AJ138" s="45">
        <v>0</v>
      </c>
      <c r="AK138" s="45">
        <v>0</v>
      </c>
      <c r="AL138" s="45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3">
        <v>0</v>
      </c>
      <c r="AS138" s="25">
        <v>0</v>
      </c>
      <c r="AT138" s="54">
        <v>0</v>
      </c>
      <c r="AU138" s="52">
        <v>0</v>
      </c>
      <c r="AV138" s="52">
        <v>0</v>
      </c>
      <c r="AW138" s="52">
        <v>0</v>
      </c>
      <c r="AX138" s="38">
        <v>0</v>
      </c>
      <c r="AY138" s="38">
        <v>0</v>
      </c>
      <c r="AZ138" s="38">
        <v>0</v>
      </c>
      <c r="BA138" s="38">
        <v>0</v>
      </c>
      <c r="BB138" s="38">
        <v>0</v>
      </c>
      <c r="BC138" s="38">
        <v>0</v>
      </c>
      <c r="BD138" s="38">
        <v>0</v>
      </c>
      <c r="BE138" s="38">
        <v>0</v>
      </c>
      <c r="BF138" s="38">
        <v>0</v>
      </c>
      <c r="BG138" s="38">
        <v>0</v>
      </c>
      <c r="BH138" s="40">
        <v>3</v>
      </c>
      <c r="BI138" s="40" t="s">
        <v>1418</v>
      </c>
      <c r="BJ138" s="40">
        <v>1</v>
      </c>
    </row>
    <row r="139" spans="1:62" x14ac:dyDescent="0.25">
      <c r="A139" s="6">
        <v>115</v>
      </c>
      <c r="B139" s="6" t="s">
        <v>1746</v>
      </c>
      <c r="C139" s="6" t="s">
        <v>1426</v>
      </c>
      <c r="D139" s="6" t="s">
        <v>1426</v>
      </c>
      <c r="E139" s="6" t="s">
        <v>1419</v>
      </c>
      <c r="F139" s="6" t="s">
        <v>1025</v>
      </c>
      <c r="G139" s="17">
        <v>44575.893750000003</v>
      </c>
      <c r="H139" s="21">
        <v>1</v>
      </c>
      <c r="I139" s="4">
        <f t="shared" si="7"/>
        <v>44575.935416666667</v>
      </c>
      <c r="J139" s="3">
        <v>75</v>
      </c>
      <c r="K139" s="3">
        <v>13330</v>
      </c>
      <c r="L139" s="3">
        <f t="shared" si="6"/>
        <v>1.592574988049713E-3</v>
      </c>
      <c r="M139" s="3">
        <v>88.424599999999998</v>
      </c>
      <c r="N139" s="3">
        <v>7.8201000000000001</v>
      </c>
      <c r="O139" s="3" t="s">
        <v>1334</v>
      </c>
      <c r="P139" s="3">
        <v>38.499307999999999</v>
      </c>
      <c r="Q139" s="3">
        <v>-4.1540220000000003</v>
      </c>
      <c r="R139" s="3">
        <v>23000</v>
      </c>
      <c r="S139" s="3">
        <v>23000</v>
      </c>
      <c r="T139" s="3">
        <v>4500</v>
      </c>
      <c r="U139" s="3">
        <v>7.8201000000000001</v>
      </c>
      <c r="V139" s="3">
        <v>23000</v>
      </c>
      <c r="W139" s="3" t="s">
        <v>144</v>
      </c>
      <c r="X139" s="3" t="s">
        <v>382</v>
      </c>
      <c r="Y139" s="3">
        <v>0</v>
      </c>
      <c r="Z139" s="3">
        <v>60000</v>
      </c>
      <c r="AA139" s="3">
        <v>60000</v>
      </c>
      <c r="AB139" s="5">
        <v>800</v>
      </c>
      <c r="AC139" s="5">
        <v>1.3</v>
      </c>
      <c r="AD139" s="5">
        <v>0.4</v>
      </c>
      <c r="AE139" s="5">
        <v>5.0000000000000001E-4</v>
      </c>
      <c r="AF139" s="5">
        <v>5.0000000000000001E-4</v>
      </c>
      <c r="AG139" s="5">
        <v>10</v>
      </c>
      <c r="AH139" s="5">
        <v>-1.5</v>
      </c>
      <c r="AI139" s="5">
        <v>1.5</v>
      </c>
      <c r="AJ139" s="45">
        <v>0</v>
      </c>
      <c r="AK139" s="45">
        <v>0</v>
      </c>
      <c r="AL139" s="45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3">
        <v>0</v>
      </c>
      <c r="AS139" s="25">
        <v>0</v>
      </c>
      <c r="AT139" s="54">
        <v>0</v>
      </c>
      <c r="AU139" s="52">
        <v>0</v>
      </c>
      <c r="AV139" s="52">
        <v>0</v>
      </c>
      <c r="AW139" s="52">
        <v>0</v>
      </c>
      <c r="AX139" s="38">
        <v>0</v>
      </c>
      <c r="AY139" s="38">
        <v>0</v>
      </c>
      <c r="AZ139" s="38">
        <v>0</v>
      </c>
      <c r="BA139" s="38">
        <v>0</v>
      </c>
      <c r="BB139" s="38">
        <v>0</v>
      </c>
      <c r="BC139" s="38">
        <v>0</v>
      </c>
      <c r="BD139" s="38">
        <v>0</v>
      </c>
      <c r="BE139" s="38">
        <v>0</v>
      </c>
      <c r="BF139" s="38">
        <v>0</v>
      </c>
      <c r="BG139" s="38">
        <v>0</v>
      </c>
      <c r="BH139" s="40">
        <v>2</v>
      </c>
      <c r="BI139" s="40" t="s">
        <v>1417</v>
      </c>
      <c r="BJ139" s="40">
        <v>0</v>
      </c>
    </row>
    <row r="140" spans="1:62" x14ac:dyDescent="0.25">
      <c r="A140" s="6">
        <v>116</v>
      </c>
      <c r="B140" s="6" t="s">
        <v>1747</v>
      </c>
      <c r="C140" s="6" t="s">
        <v>1421</v>
      </c>
      <c r="D140" s="6" t="s">
        <v>1421</v>
      </c>
      <c r="E140" s="6" t="s">
        <v>1326</v>
      </c>
      <c r="F140" s="6" t="s">
        <v>4</v>
      </c>
      <c r="G140" s="17">
        <v>44581.533333333333</v>
      </c>
      <c r="H140" s="21">
        <v>-6</v>
      </c>
      <c r="I140" s="4">
        <f t="shared" si="7"/>
        <v>44581.283333333333</v>
      </c>
      <c r="J140" s="3">
        <v>10</v>
      </c>
      <c r="K140" s="3">
        <v>16000</v>
      </c>
      <c r="L140" s="3">
        <f t="shared" si="6"/>
        <v>3.0592734225621415E-4</v>
      </c>
      <c r="M140" s="3">
        <v>230</v>
      </c>
      <c r="N140" s="3">
        <v>51</v>
      </c>
      <c r="O140" s="3" t="s">
        <v>1334</v>
      </c>
      <c r="P140" s="3">
        <v>42.997999999999998</v>
      </c>
      <c r="Q140" s="3">
        <v>-91.058000000000007</v>
      </c>
      <c r="R140" s="3">
        <v>32500</v>
      </c>
      <c r="S140" s="3">
        <v>32500</v>
      </c>
      <c r="T140" s="3">
        <v>10000</v>
      </c>
      <c r="U140" s="3">
        <v>54</v>
      </c>
      <c r="V140" s="3">
        <v>32500</v>
      </c>
      <c r="W140" s="3" t="s">
        <v>144</v>
      </c>
      <c r="X140" s="3" t="s">
        <v>382</v>
      </c>
      <c r="Y140" s="3">
        <v>0</v>
      </c>
      <c r="Z140" s="3">
        <v>60000</v>
      </c>
      <c r="AA140" s="3">
        <v>60000</v>
      </c>
      <c r="AB140" s="5">
        <v>1500</v>
      </c>
      <c r="AC140" s="5">
        <v>3</v>
      </c>
      <c r="AD140" s="5">
        <v>5</v>
      </c>
      <c r="AE140" s="5">
        <v>7.4999999999999997E-3</v>
      </c>
      <c r="AF140" s="5">
        <v>0.05</v>
      </c>
      <c r="AG140" s="5">
        <v>1000</v>
      </c>
      <c r="AH140" s="5">
        <v>-1.5</v>
      </c>
      <c r="AI140" s="5">
        <v>1.5</v>
      </c>
      <c r="AJ140" s="45">
        <v>0</v>
      </c>
      <c r="AK140" s="45">
        <v>0</v>
      </c>
      <c r="AL140" s="45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0</v>
      </c>
      <c r="AR140" s="23">
        <v>0</v>
      </c>
      <c r="AS140" s="25">
        <v>0</v>
      </c>
      <c r="AT140" s="54">
        <v>0</v>
      </c>
      <c r="AU140" s="52">
        <v>0</v>
      </c>
      <c r="AV140" s="52">
        <v>0</v>
      </c>
      <c r="AW140" s="52">
        <v>0</v>
      </c>
      <c r="AX140" s="38">
        <v>0</v>
      </c>
      <c r="AY140" s="38">
        <v>0</v>
      </c>
      <c r="AZ140" s="38">
        <v>0</v>
      </c>
      <c r="BA140" s="38">
        <v>0</v>
      </c>
      <c r="BB140" s="38">
        <v>0</v>
      </c>
      <c r="BC140" s="38">
        <v>0</v>
      </c>
      <c r="BD140" s="38">
        <v>0</v>
      </c>
      <c r="BE140" s="38">
        <v>0</v>
      </c>
      <c r="BF140" s="38">
        <v>0</v>
      </c>
      <c r="BG140" s="38">
        <v>0</v>
      </c>
      <c r="BH140" s="40">
        <v>1</v>
      </c>
      <c r="BI140" s="40" t="s">
        <v>1416</v>
      </c>
      <c r="BJ140" s="40">
        <v>0</v>
      </c>
    </row>
    <row r="141" spans="1:62" x14ac:dyDescent="0.25">
      <c r="A141" s="6">
        <v>117</v>
      </c>
      <c r="B141" s="6" t="s">
        <v>1747</v>
      </c>
      <c r="C141" s="6" t="s">
        <v>1425</v>
      </c>
      <c r="D141" s="6" t="s">
        <v>1421</v>
      </c>
      <c r="E141" s="6" t="s">
        <v>1326</v>
      </c>
      <c r="F141" s="6" t="s">
        <v>4</v>
      </c>
      <c r="G141" s="17">
        <v>44581.533333333333</v>
      </c>
      <c r="H141" s="21">
        <v>-6</v>
      </c>
      <c r="I141" s="4">
        <f t="shared" si="7"/>
        <v>44581.283333333333</v>
      </c>
      <c r="J141" s="3">
        <v>0.1</v>
      </c>
      <c r="K141" s="3">
        <v>50</v>
      </c>
      <c r="L141" s="3">
        <f t="shared" si="6"/>
        <v>2.9875717017208414E-11</v>
      </c>
      <c r="M141" s="3">
        <v>230</v>
      </c>
      <c r="N141" s="3">
        <v>0</v>
      </c>
      <c r="O141" s="3" t="s">
        <v>1334</v>
      </c>
      <c r="P141" s="3">
        <v>42.9298565</v>
      </c>
      <c r="Q141" s="3">
        <v>-90.993268499999999</v>
      </c>
      <c r="R141" s="3">
        <v>1900</v>
      </c>
      <c r="S141" s="3">
        <v>1900</v>
      </c>
      <c r="T141" s="3">
        <v>50</v>
      </c>
      <c r="U141" s="3">
        <v>54</v>
      </c>
      <c r="V141" s="3">
        <v>800</v>
      </c>
      <c r="W141" s="3" t="s">
        <v>144</v>
      </c>
      <c r="X141" s="3" t="s">
        <v>382</v>
      </c>
      <c r="Y141" s="3">
        <v>0</v>
      </c>
      <c r="Z141" s="3">
        <v>2000</v>
      </c>
      <c r="AA141" s="3">
        <v>2000</v>
      </c>
      <c r="AB141" s="5">
        <v>30</v>
      </c>
      <c r="AC141" s="5">
        <v>3</v>
      </c>
      <c r="AD141" s="5">
        <v>1</v>
      </c>
      <c r="AE141" s="5">
        <v>6.2525000000022146E-3</v>
      </c>
      <c r="AF141" s="5">
        <v>1.4566500000000815E-2</v>
      </c>
      <c r="AG141" s="5">
        <v>300</v>
      </c>
      <c r="AH141" s="5">
        <v>-1.5</v>
      </c>
      <c r="AI141" s="5">
        <v>1.5</v>
      </c>
      <c r="AJ141" s="45">
        <v>0</v>
      </c>
      <c r="AK141" s="45">
        <v>0</v>
      </c>
      <c r="AL141" s="45">
        <v>0</v>
      </c>
      <c r="AM141" s="23">
        <v>0</v>
      </c>
      <c r="AN141" s="23">
        <v>0</v>
      </c>
      <c r="AO141" s="23">
        <v>0</v>
      </c>
      <c r="AP141" s="23">
        <v>0</v>
      </c>
      <c r="AQ141" s="23">
        <v>0</v>
      </c>
      <c r="AR141" s="23">
        <v>0</v>
      </c>
      <c r="AS141" s="25">
        <v>0</v>
      </c>
      <c r="AT141" s="54">
        <v>0</v>
      </c>
      <c r="AU141" s="52">
        <v>0</v>
      </c>
      <c r="AV141" s="52">
        <v>0</v>
      </c>
      <c r="AW141" s="52">
        <v>0</v>
      </c>
      <c r="AX141" s="38">
        <v>0</v>
      </c>
      <c r="AY141" s="38">
        <v>0</v>
      </c>
      <c r="AZ141" s="38">
        <v>0</v>
      </c>
      <c r="BA141" s="38">
        <v>0</v>
      </c>
      <c r="BB141" s="38">
        <v>0</v>
      </c>
      <c r="BC141" s="38">
        <v>0</v>
      </c>
      <c r="BD141" s="38">
        <v>0</v>
      </c>
      <c r="BE141" s="38">
        <v>0</v>
      </c>
      <c r="BF141" s="38">
        <v>0</v>
      </c>
      <c r="BG141" s="38">
        <v>0</v>
      </c>
      <c r="BH141" s="40">
        <v>1</v>
      </c>
      <c r="BI141" s="40" t="s">
        <v>1416</v>
      </c>
      <c r="BJ141" s="40">
        <v>0</v>
      </c>
    </row>
    <row r="142" spans="1:62" x14ac:dyDescent="0.25">
      <c r="A142" s="6">
        <v>117</v>
      </c>
      <c r="B142" s="6" t="s">
        <v>1747</v>
      </c>
      <c r="C142" s="6" t="s">
        <v>1423</v>
      </c>
      <c r="D142" s="6" t="s">
        <v>1421</v>
      </c>
      <c r="E142" s="6" t="s">
        <v>1326</v>
      </c>
      <c r="F142" s="6" t="s">
        <v>4</v>
      </c>
      <c r="G142" s="17">
        <v>44581.533333333333</v>
      </c>
      <c r="H142" s="21">
        <v>-6</v>
      </c>
      <c r="I142" s="4">
        <f t="shared" si="7"/>
        <v>44581.283333333333</v>
      </c>
      <c r="J142" s="3">
        <v>0.1</v>
      </c>
      <c r="K142" s="3">
        <v>50</v>
      </c>
      <c r="L142" s="3">
        <f t="shared" si="6"/>
        <v>2.9875717017208414E-11</v>
      </c>
      <c r="M142" s="3">
        <v>230</v>
      </c>
      <c r="N142" s="3">
        <v>0</v>
      </c>
      <c r="O142" s="3" t="s">
        <v>1334</v>
      </c>
      <c r="P142" s="3">
        <v>42.946178000000003</v>
      </c>
      <c r="Q142" s="3">
        <v>-91.007292000000007</v>
      </c>
      <c r="R142" s="3">
        <v>6000</v>
      </c>
      <c r="S142" s="3">
        <v>6000</v>
      </c>
      <c r="T142" s="3">
        <v>50</v>
      </c>
      <c r="U142" s="3">
        <v>54</v>
      </c>
      <c r="V142" s="3">
        <v>800</v>
      </c>
      <c r="W142" s="3" t="s">
        <v>144</v>
      </c>
      <c r="X142" s="3" t="s">
        <v>382</v>
      </c>
      <c r="Y142" s="3">
        <v>0</v>
      </c>
      <c r="Z142" s="3">
        <v>6000</v>
      </c>
      <c r="AA142" s="3">
        <v>6000</v>
      </c>
      <c r="AB142" s="5">
        <v>30</v>
      </c>
      <c r="AC142" s="5">
        <v>3</v>
      </c>
      <c r="AD142" s="5">
        <v>1</v>
      </c>
      <c r="AE142" s="5">
        <v>1.0522E-2</v>
      </c>
      <c r="AF142" s="5">
        <v>1.6618999999999998E-2</v>
      </c>
      <c r="AG142" s="5">
        <v>1000</v>
      </c>
      <c r="AH142" s="5">
        <v>-1.5</v>
      </c>
      <c r="AI142" s="5">
        <v>1.5</v>
      </c>
      <c r="AJ142" s="45">
        <v>0</v>
      </c>
      <c r="AK142" s="45">
        <v>0</v>
      </c>
      <c r="AL142" s="45">
        <v>0</v>
      </c>
      <c r="AM142" s="23">
        <v>0</v>
      </c>
      <c r="AN142" s="23">
        <v>0</v>
      </c>
      <c r="AO142" s="23">
        <v>0</v>
      </c>
      <c r="AP142" s="23">
        <v>0</v>
      </c>
      <c r="AQ142" s="23">
        <v>0</v>
      </c>
      <c r="AR142" s="23">
        <v>0</v>
      </c>
      <c r="AS142" s="25">
        <v>0</v>
      </c>
      <c r="AT142" s="54">
        <v>0</v>
      </c>
      <c r="AU142" s="52">
        <v>0</v>
      </c>
      <c r="AV142" s="52">
        <v>0</v>
      </c>
      <c r="AW142" s="52">
        <v>0</v>
      </c>
      <c r="AX142" s="38">
        <v>0</v>
      </c>
      <c r="AY142" s="38">
        <v>0</v>
      </c>
      <c r="AZ142" s="38">
        <v>0</v>
      </c>
      <c r="BA142" s="38">
        <v>0</v>
      </c>
      <c r="BB142" s="38">
        <v>0</v>
      </c>
      <c r="BC142" s="38">
        <v>0</v>
      </c>
      <c r="BD142" s="38">
        <v>0</v>
      </c>
      <c r="BE142" s="38">
        <v>0</v>
      </c>
      <c r="BF142" s="38">
        <v>0</v>
      </c>
      <c r="BG142" s="38">
        <v>0</v>
      </c>
      <c r="BH142" s="40">
        <v>1</v>
      </c>
      <c r="BI142" s="40" t="s">
        <v>1416</v>
      </c>
      <c r="BJ142" s="40">
        <v>0</v>
      </c>
    </row>
    <row r="143" spans="1:62" x14ac:dyDescent="0.25">
      <c r="A143" s="6">
        <v>118</v>
      </c>
      <c r="B143" s="6" t="s">
        <v>1748</v>
      </c>
      <c r="C143" s="6" t="s">
        <v>1429</v>
      </c>
      <c r="D143" s="6" t="s">
        <v>1427</v>
      </c>
      <c r="E143" s="6" t="s">
        <v>1227</v>
      </c>
      <c r="F143" s="6" t="s">
        <v>4</v>
      </c>
      <c r="G143" s="17">
        <v>44588.086574074077</v>
      </c>
      <c r="H143" s="21">
        <v>-7</v>
      </c>
      <c r="I143" s="4">
        <f t="shared" si="7"/>
        <v>44587.794907407413</v>
      </c>
      <c r="J143" s="3">
        <v>2.3999999999999998E-3</v>
      </c>
      <c r="K143" s="3">
        <v>13100</v>
      </c>
      <c r="L143" s="3">
        <f t="shared" si="6"/>
        <v>4.9218929254302094E-8</v>
      </c>
      <c r="M143" s="3">
        <v>311</v>
      </c>
      <c r="N143" s="3">
        <v>35</v>
      </c>
      <c r="O143" s="3" t="s">
        <v>1334</v>
      </c>
      <c r="P143" s="3">
        <v>32.060600000000001</v>
      </c>
      <c r="Q143" s="3">
        <v>-109.5201</v>
      </c>
      <c r="R143" s="3">
        <v>33300</v>
      </c>
      <c r="S143" s="3">
        <v>33300</v>
      </c>
      <c r="T143" s="3">
        <v>13100</v>
      </c>
      <c r="U143" s="3">
        <v>35</v>
      </c>
      <c r="V143" s="3">
        <v>33300</v>
      </c>
      <c r="W143" s="3" t="s">
        <v>144</v>
      </c>
      <c r="X143" s="3" t="s">
        <v>382</v>
      </c>
      <c r="Y143" s="3">
        <v>0</v>
      </c>
      <c r="Z143" s="3">
        <v>60000</v>
      </c>
      <c r="AA143" s="3">
        <v>60000</v>
      </c>
      <c r="AB143" s="5">
        <v>655</v>
      </c>
      <c r="AC143" s="5">
        <v>2</v>
      </c>
      <c r="AD143" s="5">
        <v>4</v>
      </c>
      <c r="AE143" s="5">
        <v>0.03</v>
      </c>
      <c r="AF143" s="5">
        <v>0.03</v>
      </c>
      <c r="AG143" s="5">
        <v>1000</v>
      </c>
      <c r="AH143" s="5">
        <v>-1.5</v>
      </c>
      <c r="AI143" s="5">
        <v>1.5</v>
      </c>
      <c r="AJ143" s="45">
        <v>0</v>
      </c>
      <c r="AK143" s="45">
        <v>0</v>
      </c>
      <c r="AL143" s="45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5">
        <v>0</v>
      </c>
      <c r="AT143" s="54">
        <v>0</v>
      </c>
      <c r="AU143" s="52">
        <v>0</v>
      </c>
      <c r="AV143" s="52">
        <v>0</v>
      </c>
      <c r="AW143" s="52">
        <v>0</v>
      </c>
      <c r="AX143" s="38">
        <v>0</v>
      </c>
      <c r="AY143" s="38">
        <v>0</v>
      </c>
      <c r="AZ143" s="38">
        <v>0</v>
      </c>
      <c r="BA143" s="38">
        <v>0</v>
      </c>
      <c r="BB143" s="38">
        <v>0</v>
      </c>
      <c r="BC143" s="38">
        <v>0</v>
      </c>
      <c r="BD143" s="38">
        <v>3</v>
      </c>
      <c r="BE143" s="38">
        <v>0</v>
      </c>
      <c r="BF143" s="38">
        <v>0</v>
      </c>
      <c r="BG143" s="38">
        <v>0</v>
      </c>
      <c r="BH143" s="40">
        <v>3</v>
      </c>
      <c r="BI143" s="40" t="s">
        <v>1428</v>
      </c>
      <c r="BJ143" s="40">
        <v>0</v>
      </c>
    </row>
    <row r="144" spans="1:62" x14ac:dyDescent="0.25">
      <c r="A144" s="6">
        <v>126</v>
      </c>
      <c r="B144" s="6" t="s">
        <v>1756</v>
      </c>
      <c r="C144" s="6" t="s">
        <v>1446</v>
      </c>
      <c r="D144" s="6" t="s">
        <v>1446</v>
      </c>
      <c r="E144" s="6" t="s">
        <v>1447</v>
      </c>
      <c r="F144" s="6" t="s">
        <v>100</v>
      </c>
      <c r="G144" s="17">
        <v>44595.826851851853</v>
      </c>
      <c r="H144" s="21">
        <v>10</v>
      </c>
      <c r="I144" s="4">
        <f t="shared" si="7"/>
        <v>44596.243518518517</v>
      </c>
      <c r="J144" s="3">
        <v>7074</v>
      </c>
      <c r="K144" s="3">
        <v>22810</v>
      </c>
      <c r="L144" s="3">
        <f t="shared" si="6"/>
        <v>0.43983922220363286</v>
      </c>
      <c r="M144" s="3">
        <v>236.2</v>
      </c>
      <c r="N144" s="3">
        <v>76.7</v>
      </c>
      <c r="O144" s="3" t="s">
        <v>1334</v>
      </c>
      <c r="P144" s="3">
        <v>-13.3</v>
      </c>
      <c r="Q144" s="3">
        <v>142.19999999999999</v>
      </c>
      <c r="R144" s="3">
        <v>3600</v>
      </c>
      <c r="S144" s="3">
        <v>36000</v>
      </c>
      <c r="T144" s="3">
        <v>22810</v>
      </c>
      <c r="U144" s="3">
        <v>76.7</v>
      </c>
      <c r="V144" s="3">
        <v>25000</v>
      </c>
      <c r="W144" s="3" t="s">
        <v>144</v>
      </c>
      <c r="X144" s="3" t="s">
        <v>382</v>
      </c>
      <c r="Y144" s="3">
        <v>0</v>
      </c>
      <c r="Z144" s="3">
        <v>60000</v>
      </c>
      <c r="AA144" s="3">
        <v>60000</v>
      </c>
      <c r="AB144" s="5">
        <v>1000</v>
      </c>
      <c r="AC144" s="5">
        <v>2</v>
      </c>
      <c r="AD144" s="5">
        <v>2</v>
      </c>
      <c r="AE144" s="5">
        <v>0.05</v>
      </c>
      <c r="AF144" s="5">
        <v>0.05</v>
      </c>
      <c r="AG144" s="5">
        <v>1000</v>
      </c>
      <c r="AH144" s="5">
        <v>-1.5</v>
      </c>
      <c r="AI144" s="5">
        <v>1.5</v>
      </c>
      <c r="AJ144" s="45">
        <v>0</v>
      </c>
      <c r="AK144" s="45">
        <v>0</v>
      </c>
      <c r="AL144" s="45">
        <v>0</v>
      </c>
      <c r="AM144" s="23">
        <v>0</v>
      </c>
      <c r="AN144" s="23">
        <v>0</v>
      </c>
      <c r="AO144" s="23">
        <v>0</v>
      </c>
      <c r="AP144" s="23">
        <v>0</v>
      </c>
      <c r="AQ144" s="23">
        <v>0</v>
      </c>
      <c r="AR144" s="23">
        <v>0</v>
      </c>
      <c r="AS144" s="25">
        <v>0</v>
      </c>
      <c r="AT144" s="54">
        <v>0</v>
      </c>
      <c r="AU144" s="52">
        <v>0</v>
      </c>
      <c r="AV144" s="52">
        <v>0</v>
      </c>
      <c r="AW144" s="52">
        <v>0</v>
      </c>
      <c r="AX144" s="38">
        <v>0</v>
      </c>
      <c r="AY144" s="38">
        <v>0</v>
      </c>
      <c r="AZ144" s="38">
        <v>0</v>
      </c>
      <c r="BA144" s="38">
        <v>0</v>
      </c>
      <c r="BB144" s="38">
        <v>0</v>
      </c>
      <c r="BC144" s="38">
        <v>0</v>
      </c>
      <c r="BD144" s="38">
        <v>0</v>
      </c>
      <c r="BE144" s="38">
        <v>0</v>
      </c>
      <c r="BF144" s="38">
        <v>0</v>
      </c>
      <c r="BG144" s="38">
        <v>0</v>
      </c>
      <c r="BH144" s="40">
        <v>2</v>
      </c>
      <c r="BI144" s="40" t="s">
        <v>1416</v>
      </c>
      <c r="BJ144" s="40">
        <v>0</v>
      </c>
    </row>
    <row r="145" spans="1:62" x14ac:dyDescent="0.25">
      <c r="A145" s="6">
        <v>125</v>
      </c>
      <c r="B145" s="6" t="s">
        <v>1755</v>
      </c>
      <c r="C145" s="6" t="s">
        <v>1445</v>
      </c>
      <c r="D145" s="6" t="s">
        <v>1445</v>
      </c>
      <c r="E145" s="6" t="s">
        <v>1445</v>
      </c>
      <c r="F145" s="6" t="s">
        <v>1037</v>
      </c>
      <c r="G145" s="17">
        <v>44631.890810185185</v>
      </c>
      <c r="H145" s="21">
        <v>2</v>
      </c>
      <c r="I145" s="4">
        <f t="shared" si="7"/>
        <v>44631.974143518521</v>
      </c>
      <c r="J145" s="3">
        <v>112618</v>
      </c>
      <c r="K145" s="3">
        <v>17240</v>
      </c>
      <c r="L145" s="3">
        <f t="shared" si="6"/>
        <v>4.0000061755258125</v>
      </c>
      <c r="M145" s="3">
        <v>309.8</v>
      </c>
      <c r="N145" s="3">
        <v>32.200000000000003</v>
      </c>
      <c r="O145" s="3" t="s">
        <v>1334</v>
      </c>
      <c r="P145" s="3">
        <v>70</v>
      </c>
      <c r="Q145" s="3">
        <v>-9.1</v>
      </c>
      <c r="R145" s="3">
        <v>33300</v>
      </c>
      <c r="S145" s="3">
        <v>33300</v>
      </c>
      <c r="T145" s="3">
        <v>17240</v>
      </c>
      <c r="U145" s="3">
        <v>32.200000000000003</v>
      </c>
      <c r="V145" s="3">
        <v>25000</v>
      </c>
      <c r="W145" s="3" t="s">
        <v>144</v>
      </c>
      <c r="X145" s="3" t="s">
        <v>382</v>
      </c>
      <c r="Y145" s="3">
        <v>0</v>
      </c>
      <c r="Z145" s="3">
        <v>60000</v>
      </c>
      <c r="AA145" s="3">
        <v>60000</v>
      </c>
      <c r="AB145" s="5">
        <v>1000</v>
      </c>
      <c r="AC145" s="5">
        <v>2</v>
      </c>
      <c r="AD145" s="5">
        <v>2</v>
      </c>
      <c r="AE145" s="5">
        <v>0.05</v>
      </c>
      <c r="AF145" s="5">
        <v>0.05</v>
      </c>
      <c r="AG145" s="5">
        <v>1000</v>
      </c>
      <c r="AH145" s="5">
        <v>-1.5</v>
      </c>
      <c r="AI145" s="5">
        <v>1.5</v>
      </c>
      <c r="AJ145" s="45">
        <v>0</v>
      </c>
      <c r="AK145" s="45">
        <v>0</v>
      </c>
      <c r="AL145" s="45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5">
        <v>0</v>
      </c>
      <c r="AT145" s="54">
        <v>0</v>
      </c>
      <c r="AU145" s="52">
        <v>0</v>
      </c>
      <c r="AV145" s="52">
        <v>0</v>
      </c>
      <c r="AW145" s="52">
        <v>0</v>
      </c>
      <c r="AX145" s="38">
        <v>0</v>
      </c>
      <c r="AY145" s="38">
        <v>0</v>
      </c>
      <c r="AZ145" s="38">
        <v>0</v>
      </c>
      <c r="BA145" s="38">
        <v>0</v>
      </c>
      <c r="BB145" s="38">
        <v>0</v>
      </c>
      <c r="BC145" s="38">
        <v>0</v>
      </c>
      <c r="BD145" s="38">
        <v>0</v>
      </c>
      <c r="BE145" s="38">
        <v>0</v>
      </c>
      <c r="BF145" s="38">
        <v>0</v>
      </c>
      <c r="BG145" s="38">
        <v>0</v>
      </c>
      <c r="BH145" s="40">
        <v>2</v>
      </c>
      <c r="BI145" s="40" t="s">
        <v>1416</v>
      </c>
      <c r="BJ145" s="40">
        <v>0</v>
      </c>
    </row>
    <row r="146" spans="1:62" x14ac:dyDescent="0.25">
      <c r="A146" s="6">
        <v>123</v>
      </c>
      <c r="B146" s="6" t="s">
        <v>1753</v>
      </c>
      <c r="C146" s="6" t="s">
        <v>1440</v>
      </c>
      <c r="D146" s="6" t="s">
        <v>1440</v>
      </c>
      <c r="E146" s="6" t="s">
        <v>1439</v>
      </c>
      <c r="F146" s="6" t="s">
        <v>1371</v>
      </c>
      <c r="G146" s="17">
        <v>44664.98982638889</v>
      </c>
      <c r="H146" s="21">
        <v>0</v>
      </c>
      <c r="I146" s="4">
        <f t="shared" si="7"/>
        <v>44664.98982638889</v>
      </c>
      <c r="J146" s="3">
        <v>10</v>
      </c>
      <c r="K146" s="3">
        <v>12897.75</v>
      </c>
      <c r="L146" s="3">
        <f t="shared" si="6"/>
        <v>1.987953573882648E-4</v>
      </c>
      <c r="M146" s="3">
        <v>85.243499999999997</v>
      </c>
      <c r="N146" s="3">
        <v>45.871899999999997</v>
      </c>
      <c r="O146" s="3" t="s">
        <v>1334</v>
      </c>
      <c r="P146" s="3">
        <v>52.665610000000001</v>
      </c>
      <c r="Q146" s="3">
        <v>-2.8727740000000002</v>
      </c>
      <c r="R146" s="3">
        <v>23256.99</v>
      </c>
      <c r="S146" s="3">
        <v>23256.99</v>
      </c>
      <c r="T146" s="3">
        <v>12632.66</v>
      </c>
      <c r="U146" s="3">
        <v>45.871899999999997</v>
      </c>
      <c r="V146" s="3">
        <v>23256.99</v>
      </c>
      <c r="W146" s="3" t="s">
        <v>144</v>
      </c>
      <c r="X146" s="3" t="s">
        <v>382</v>
      </c>
      <c r="Y146" s="3">
        <v>0</v>
      </c>
      <c r="Z146" s="3">
        <v>60000</v>
      </c>
      <c r="AA146" s="3">
        <v>60000</v>
      </c>
      <c r="AB146" s="5">
        <v>4.3</v>
      </c>
      <c r="AC146" s="5">
        <v>8.0199999999999994E-2</v>
      </c>
      <c r="AD146" s="5">
        <v>7.2999999999999995E-2</v>
      </c>
      <c r="AE146" s="5">
        <v>2.9999999999999997E-4</v>
      </c>
      <c r="AF146" s="5">
        <v>4.0000000000000003E-5</v>
      </c>
      <c r="AG146" s="5">
        <v>13.15</v>
      </c>
      <c r="AH146" s="5">
        <v>-1.5</v>
      </c>
      <c r="AI146" s="5">
        <v>1.5</v>
      </c>
      <c r="AJ146" s="45">
        <v>0</v>
      </c>
      <c r="AK146" s="45">
        <v>0</v>
      </c>
      <c r="AL146" s="45">
        <v>0</v>
      </c>
      <c r="AM146" s="23">
        <v>0</v>
      </c>
      <c r="AN146" s="23">
        <v>0</v>
      </c>
      <c r="AO146" s="23">
        <v>0</v>
      </c>
      <c r="AP146" s="23">
        <v>0</v>
      </c>
      <c r="AQ146" s="23">
        <v>0</v>
      </c>
      <c r="AR146" s="23">
        <v>0</v>
      </c>
      <c r="AS146" s="25">
        <v>0</v>
      </c>
      <c r="AT146" s="54">
        <v>0</v>
      </c>
      <c r="AU146" s="52">
        <v>0</v>
      </c>
      <c r="AV146" s="52">
        <v>0</v>
      </c>
      <c r="AW146" s="52">
        <v>0</v>
      </c>
      <c r="AX146" s="38">
        <v>0</v>
      </c>
      <c r="AY146" s="38">
        <v>0</v>
      </c>
      <c r="AZ146" s="38">
        <v>0</v>
      </c>
      <c r="BA146" s="38">
        <v>0</v>
      </c>
      <c r="BB146" s="38">
        <v>0</v>
      </c>
      <c r="BC146" s="38">
        <v>0</v>
      </c>
      <c r="BD146" s="38">
        <v>0</v>
      </c>
      <c r="BE146" s="38">
        <v>0</v>
      </c>
      <c r="BF146" s="38">
        <v>0</v>
      </c>
      <c r="BG146" s="38">
        <v>0</v>
      </c>
      <c r="BH146" s="40">
        <v>3</v>
      </c>
      <c r="BI146" s="40" t="s">
        <v>1438</v>
      </c>
      <c r="BJ146" s="40">
        <v>0</v>
      </c>
    </row>
    <row r="147" spans="1:62" x14ac:dyDescent="0.25">
      <c r="A147" s="6">
        <v>122</v>
      </c>
      <c r="B147" s="6" t="s">
        <v>1752</v>
      </c>
      <c r="C147" s="6" t="s">
        <v>1441</v>
      </c>
      <c r="D147" s="6" t="s">
        <v>1441</v>
      </c>
      <c r="E147" s="6" t="s">
        <v>101</v>
      </c>
      <c r="F147" s="6" t="s">
        <v>103</v>
      </c>
      <c r="G147" s="17">
        <v>44669.150694444441</v>
      </c>
      <c r="H147" s="21">
        <v>-4</v>
      </c>
      <c r="I147" s="4">
        <f t="shared" si="7"/>
        <v>44668.984027777777</v>
      </c>
      <c r="J147" s="3">
        <v>10</v>
      </c>
      <c r="K147" s="3">
        <v>14360</v>
      </c>
      <c r="L147" s="3">
        <f t="shared" si="6"/>
        <v>2.464263862332696E-4</v>
      </c>
      <c r="M147" s="3">
        <v>12.624000000000001</v>
      </c>
      <c r="N147" s="3">
        <v>29.413499999999999</v>
      </c>
      <c r="O147" s="3" t="s">
        <v>1334</v>
      </c>
      <c r="P147" s="3">
        <v>44.436048999999997</v>
      </c>
      <c r="Q147" s="3">
        <v>-79.100116999999997</v>
      </c>
      <c r="R147" s="3">
        <v>28642</v>
      </c>
      <c r="S147" s="3">
        <v>28642</v>
      </c>
      <c r="T147" s="3">
        <v>14360</v>
      </c>
      <c r="U147" s="3">
        <v>60.586500000000001</v>
      </c>
      <c r="V147" s="3">
        <v>28642</v>
      </c>
      <c r="W147" s="3" t="s">
        <v>144</v>
      </c>
      <c r="X147" s="3" t="s">
        <v>382</v>
      </c>
      <c r="Y147" s="3">
        <v>0</v>
      </c>
      <c r="Z147" s="3">
        <v>60000</v>
      </c>
      <c r="AA147" s="3">
        <v>60000</v>
      </c>
      <c r="AB147" s="5">
        <v>100</v>
      </c>
      <c r="AC147" s="5">
        <v>0.28420000000000001</v>
      </c>
      <c r="AD147" s="5">
        <v>0.13539999999999999</v>
      </c>
      <c r="AE147" s="5">
        <v>4.5100000000000001E-4</v>
      </c>
      <c r="AF147" s="5">
        <v>6.4300000000000002E-4</v>
      </c>
      <c r="AG147" s="5">
        <v>50</v>
      </c>
      <c r="AH147" s="5">
        <v>-1.5</v>
      </c>
      <c r="AI147" s="5">
        <v>1.5</v>
      </c>
      <c r="AJ147" s="45">
        <v>0</v>
      </c>
      <c r="AK147" s="45">
        <v>0</v>
      </c>
      <c r="AL147" s="45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5">
        <v>0</v>
      </c>
      <c r="AT147" s="54">
        <v>0</v>
      </c>
      <c r="AU147" s="52">
        <v>0</v>
      </c>
      <c r="AV147" s="52">
        <v>0</v>
      </c>
      <c r="AW147" s="52">
        <v>0</v>
      </c>
      <c r="AX147" s="38">
        <v>0</v>
      </c>
      <c r="AY147" s="38">
        <v>0</v>
      </c>
      <c r="AZ147" s="38">
        <v>0</v>
      </c>
      <c r="BA147" s="38">
        <v>0</v>
      </c>
      <c r="BB147" s="38">
        <v>0</v>
      </c>
      <c r="BC147" s="38">
        <v>0</v>
      </c>
      <c r="BD147" s="38">
        <v>0</v>
      </c>
      <c r="BE147" s="38">
        <v>0</v>
      </c>
      <c r="BF147" s="38">
        <v>0</v>
      </c>
      <c r="BG147" s="38">
        <v>0</v>
      </c>
      <c r="BH147" s="40">
        <v>3</v>
      </c>
      <c r="BI147" s="40" t="s">
        <v>1437</v>
      </c>
      <c r="BJ147" s="40">
        <v>0</v>
      </c>
    </row>
    <row r="148" spans="1:62" x14ac:dyDescent="0.25">
      <c r="A148" s="6">
        <v>124</v>
      </c>
      <c r="B148" s="6" t="s">
        <v>1754</v>
      </c>
      <c r="C148" s="6" t="s">
        <v>1442</v>
      </c>
      <c r="D148" s="6" t="s">
        <v>1443</v>
      </c>
      <c r="E148" s="6" t="s">
        <v>1444</v>
      </c>
      <c r="F148" s="6" t="s">
        <v>538</v>
      </c>
      <c r="G148" s="17">
        <v>44672.927407407406</v>
      </c>
      <c r="H148" s="21">
        <v>-3</v>
      </c>
      <c r="I148" s="4">
        <f t="shared" si="7"/>
        <v>44672.802407407406</v>
      </c>
      <c r="J148" s="3">
        <v>6697</v>
      </c>
      <c r="K148" s="3">
        <v>12750</v>
      </c>
      <c r="L148" s="3">
        <f t="shared" si="6"/>
        <v>0.13010050938097514</v>
      </c>
      <c r="M148" s="3">
        <v>178.2</v>
      </c>
      <c r="N148" s="3">
        <v>41</v>
      </c>
      <c r="O148" s="3" t="s">
        <v>1334</v>
      </c>
      <c r="P148" s="3">
        <v>-55.5</v>
      </c>
      <c r="Q148" s="3">
        <v>-68.900000000000006</v>
      </c>
      <c r="R148" s="3">
        <v>28400</v>
      </c>
      <c r="S148" s="3">
        <v>28400</v>
      </c>
      <c r="T148" s="3">
        <v>12750</v>
      </c>
      <c r="U148" s="3">
        <v>41</v>
      </c>
      <c r="V148" s="3">
        <v>25000</v>
      </c>
      <c r="W148" s="3" t="s">
        <v>144</v>
      </c>
      <c r="X148" s="3" t="s">
        <v>382</v>
      </c>
      <c r="Y148" s="3">
        <v>0</v>
      </c>
      <c r="Z148" s="3">
        <v>60000</v>
      </c>
      <c r="AA148" s="3">
        <v>60000</v>
      </c>
      <c r="AB148" s="5">
        <v>1000</v>
      </c>
      <c r="AC148" s="5">
        <v>2</v>
      </c>
      <c r="AD148" s="5">
        <v>2</v>
      </c>
      <c r="AE148" s="5">
        <v>0.05</v>
      </c>
      <c r="AF148" s="5">
        <v>0.05</v>
      </c>
      <c r="AG148" s="5">
        <v>1000</v>
      </c>
      <c r="AH148" s="5">
        <v>-1.5</v>
      </c>
      <c r="AI148" s="5">
        <v>1.5</v>
      </c>
      <c r="AJ148" s="45">
        <v>0</v>
      </c>
      <c r="AK148" s="45">
        <v>0</v>
      </c>
      <c r="AL148" s="45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5">
        <v>0</v>
      </c>
      <c r="AT148" s="54">
        <v>0</v>
      </c>
      <c r="AU148" s="52">
        <v>0</v>
      </c>
      <c r="AV148" s="52">
        <v>0</v>
      </c>
      <c r="AW148" s="52">
        <v>0</v>
      </c>
      <c r="AX148" s="38">
        <v>0</v>
      </c>
      <c r="AY148" s="38">
        <v>0</v>
      </c>
      <c r="AZ148" s="38">
        <v>0</v>
      </c>
      <c r="BA148" s="38">
        <v>0</v>
      </c>
      <c r="BB148" s="38">
        <v>0</v>
      </c>
      <c r="BC148" s="38">
        <v>0</v>
      </c>
      <c r="BD148" s="38">
        <v>0</v>
      </c>
      <c r="BE148" s="38">
        <v>0</v>
      </c>
      <c r="BF148" s="38">
        <v>0</v>
      </c>
      <c r="BG148" s="38">
        <v>0</v>
      </c>
      <c r="BH148" s="40">
        <v>2</v>
      </c>
      <c r="BI148" s="40" t="s">
        <v>1416</v>
      </c>
      <c r="BJ148" s="40">
        <v>0</v>
      </c>
    </row>
    <row r="149" spans="1:62" x14ac:dyDescent="0.25">
      <c r="A149" s="6">
        <v>127</v>
      </c>
      <c r="B149" s="6" t="s">
        <v>1757</v>
      </c>
      <c r="C149" s="6" t="s">
        <v>1448</v>
      </c>
      <c r="D149" s="6" t="s">
        <v>1448</v>
      </c>
      <c r="E149" s="6" t="s">
        <v>1449</v>
      </c>
      <c r="F149" s="6" t="s">
        <v>4</v>
      </c>
      <c r="G149" s="17">
        <v>44678.543749999997</v>
      </c>
      <c r="H149" s="21">
        <v>-5</v>
      </c>
      <c r="I149" s="4">
        <f t="shared" si="7"/>
        <v>44678.335416666661</v>
      </c>
      <c r="J149" s="3">
        <v>70</v>
      </c>
      <c r="K149" s="3">
        <v>24000</v>
      </c>
      <c r="L149" s="3">
        <f t="shared" si="6"/>
        <v>4.8183556405353729E-3</v>
      </c>
      <c r="M149" s="3">
        <v>220</v>
      </c>
      <c r="N149" s="3">
        <v>45</v>
      </c>
      <c r="O149" s="3" t="s">
        <v>1334</v>
      </c>
      <c r="P149" s="3">
        <v>31.604500999999999</v>
      </c>
      <c r="Q149" s="3">
        <v>-91.188947999999996</v>
      </c>
      <c r="R149" s="3">
        <v>28100</v>
      </c>
      <c r="S149" s="3">
        <v>28100</v>
      </c>
      <c r="T149" s="3">
        <v>4000</v>
      </c>
      <c r="U149" s="3">
        <v>45</v>
      </c>
      <c r="V149" s="3">
        <v>27000</v>
      </c>
      <c r="W149" s="3" t="s">
        <v>115</v>
      </c>
      <c r="X149" s="3" t="s">
        <v>382</v>
      </c>
      <c r="Y149" s="3">
        <v>0</v>
      </c>
      <c r="Z149" s="3">
        <v>60000</v>
      </c>
      <c r="AA149" s="3">
        <v>60000</v>
      </c>
      <c r="AB149" s="5">
        <v>5000</v>
      </c>
      <c r="AC149" s="5">
        <v>2</v>
      </c>
      <c r="AD149" s="5">
        <v>2</v>
      </c>
      <c r="AE149" s="5">
        <v>7.0000000000000001E-3</v>
      </c>
      <c r="AF149" s="5">
        <v>0.01</v>
      </c>
      <c r="AG149" s="5">
        <v>1000</v>
      </c>
      <c r="AH149" s="5">
        <v>-1.5</v>
      </c>
      <c r="AI149" s="5">
        <v>1.5</v>
      </c>
      <c r="AJ149" s="45">
        <v>0</v>
      </c>
      <c r="AK149" s="45">
        <v>0</v>
      </c>
      <c r="AL149" s="45">
        <v>0</v>
      </c>
      <c r="AM149" s="23">
        <v>0</v>
      </c>
      <c r="AN149" s="23">
        <v>20</v>
      </c>
      <c r="AO149" s="23">
        <v>1</v>
      </c>
      <c r="AP149" s="23">
        <v>0</v>
      </c>
      <c r="AQ149" s="23">
        <v>0</v>
      </c>
      <c r="AR149" s="23">
        <v>0</v>
      </c>
      <c r="AS149" s="25">
        <v>0</v>
      </c>
      <c r="AT149" s="54">
        <v>0</v>
      </c>
      <c r="AU149" s="52">
        <v>0</v>
      </c>
      <c r="AV149" s="52">
        <v>0</v>
      </c>
      <c r="AW149" s="52">
        <v>0</v>
      </c>
      <c r="AX149" s="38">
        <v>0</v>
      </c>
      <c r="AY149" s="38">
        <v>0</v>
      </c>
      <c r="AZ149" s="38">
        <v>0</v>
      </c>
      <c r="BA149" s="38">
        <v>0</v>
      </c>
      <c r="BB149" s="38">
        <v>0</v>
      </c>
      <c r="BC149" s="38">
        <v>0</v>
      </c>
      <c r="BD149" s="38">
        <v>0</v>
      </c>
      <c r="BE149" s="38">
        <v>0</v>
      </c>
      <c r="BF149" s="38">
        <v>0</v>
      </c>
      <c r="BG149" s="38">
        <v>0</v>
      </c>
      <c r="BH149" s="40">
        <v>1</v>
      </c>
      <c r="BI149" s="40" t="s">
        <v>1416</v>
      </c>
      <c r="BJ149" s="40">
        <v>0</v>
      </c>
    </row>
    <row r="150" spans="1:62" x14ac:dyDescent="0.25">
      <c r="A150" s="6">
        <v>130</v>
      </c>
      <c r="B150" s="6" t="s">
        <v>1760</v>
      </c>
      <c r="C150" s="6" t="s">
        <v>1471</v>
      </c>
      <c r="D150" s="6" t="s">
        <v>1471</v>
      </c>
      <c r="E150" s="6" t="s">
        <v>1472</v>
      </c>
      <c r="F150" s="6" t="s">
        <v>1371</v>
      </c>
      <c r="G150" s="17">
        <v>44692.986111111109</v>
      </c>
      <c r="H150" s="21">
        <v>0</v>
      </c>
      <c r="I150" s="4">
        <f t="shared" si="7"/>
        <v>44692.986111111109</v>
      </c>
      <c r="J150" s="3">
        <v>10</v>
      </c>
      <c r="K150" s="3">
        <v>27900</v>
      </c>
      <c r="L150" s="3">
        <f t="shared" si="6"/>
        <v>9.3022227533460795E-4</v>
      </c>
      <c r="M150" s="3">
        <v>345.86219999999997</v>
      </c>
      <c r="N150" s="3">
        <v>66.708299999999994</v>
      </c>
      <c r="O150" s="3" t="s">
        <v>1334</v>
      </c>
      <c r="P150" s="3">
        <v>51.3157</v>
      </c>
      <c r="Q150" s="3">
        <v>-3.4769999999999999</v>
      </c>
      <c r="R150" s="3">
        <v>35000</v>
      </c>
      <c r="S150" s="3">
        <v>35000</v>
      </c>
      <c r="T150" s="3">
        <v>15000</v>
      </c>
      <c r="U150" s="3">
        <v>23.28</v>
      </c>
      <c r="V150" s="3">
        <v>35000</v>
      </c>
      <c r="W150" s="3" t="s">
        <v>144</v>
      </c>
      <c r="X150" s="3" t="s">
        <v>382</v>
      </c>
      <c r="Y150" s="3">
        <v>0</v>
      </c>
      <c r="Z150" s="3">
        <v>60000</v>
      </c>
      <c r="AA150" s="3">
        <v>60000</v>
      </c>
      <c r="AB150" s="5">
        <v>200</v>
      </c>
      <c r="AC150" s="5">
        <v>0.4</v>
      </c>
      <c r="AD150" s="5">
        <v>0.4</v>
      </c>
      <c r="AE150" s="5">
        <v>3.0000000000000001E-3</v>
      </c>
      <c r="AF150" s="5">
        <v>3.0000000000000001E-3</v>
      </c>
      <c r="AG150" s="5">
        <v>250</v>
      </c>
      <c r="AH150" s="5">
        <v>-1.5</v>
      </c>
      <c r="AI150" s="5">
        <v>1.5</v>
      </c>
      <c r="AJ150" s="45">
        <v>0</v>
      </c>
      <c r="AK150" s="45">
        <v>0</v>
      </c>
      <c r="AL150" s="45">
        <v>0</v>
      </c>
      <c r="AM150" s="23">
        <v>0</v>
      </c>
      <c r="AN150" s="23">
        <v>0</v>
      </c>
      <c r="AO150" s="23">
        <v>0</v>
      </c>
      <c r="AP150" s="23">
        <v>0</v>
      </c>
      <c r="AQ150" s="23">
        <v>0</v>
      </c>
      <c r="AR150" s="23">
        <v>0</v>
      </c>
      <c r="AS150" s="25">
        <v>0</v>
      </c>
      <c r="AT150" s="54">
        <v>0</v>
      </c>
      <c r="AU150" s="52">
        <v>0</v>
      </c>
      <c r="AV150" s="52">
        <v>0</v>
      </c>
      <c r="AW150" s="52">
        <v>0</v>
      </c>
      <c r="AX150" s="38">
        <v>0</v>
      </c>
      <c r="AY150" s="38">
        <v>0</v>
      </c>
      <c r="AZ150" s="38">
        <v>0</v>
      </c>
      <c r="BA150" s="38">
        <v>0</v>
      </c>
      <c r="BB150" s="38">
        <v>0</v>
      </c>
      <c r="BC150" s="38">
        <v>0</v>
      </c>
      <c r="BD150" s="38">
        <v>0</v>
      </c>
      <c r="BE150" s="38">
        <v>0</v>
      </c>
      <c r="BF150" s="38">
        <v>0</v>
      </c>
      <c r="BG150" s="38">
        <v>0</v>
      </c>
      <c r="BH150" s="40">
        <v>3</v>
      </c>
      <c r="BI150" s="40" t="s">
        <v>1469</v>
      </c>
      <c r="BJ150" s="40">
        <v>0</v>
      </c>
    </row>
    <row r="151" spans="1:62" x14ac:dyDescent="0.25">
      <c r="A151" s="6">
        <v>129</v>
      </c>
      <c r="B151" s="6" t="s">
        <v>1759</v>
      </c>
      <c r="C151" s="6" t="s">
        <v>1470</v>
      </c>
      <c r="D151" s="6" t="s">
        <v>1470</v>
      </c>
      <c r="E151" s="6" t="s">
        <v>1439</v>
      </c>
      <c r="F151" s="6" t="s">
        <v>1371</v>
      </c>
      <c r="G151" s="17">
        <v>44697.864131944443</v>
      </c>
      <c r="H151" s="21">
        <v>0</v>
      </c>
      <c r="I151" s="4">
        <f t="shared" si="7"/>
        <v>44697.864131944443</v>
      </c>
      <c r="J151" s="3">
        <v>0.5</v>
      </c>
      <c r="K151" s="3">
        <v>21350</v>
      </c>
      <c r="L151" s="3">
        <f t="shared" si="6"/>
        <v>2.7236048040152963E-5</v>
      </c>
      <c r="M151" s="3">
        <v>326.36</v>
      </c>
      <c r="N151" s="3">
        <v>68</v>
      </c>
      <c r="O151" s="3" t="s">
        <v>1334</v>
      </c>
      <c r="P151" s="3">
        <v>50.954185000000003</v>
      </c>
      <c r="Q151" s="3">
        <v>-2.5748359999999999</v>
      </c>
      <c r="R151" s="3">
        <v>41000</v>
      </c>
      <c r="S151" s="3">
        <v>41000</v>
      </c>
      <c r="T151" s="3">
        <v>13000</v>
      </c>
      <c r="U151" s="3">
        <v>68</v>
      </c>
      <c r="V151" s="3">
        <v>41000</v>
      </c>
      <c r="W151" s="3" t="s">
        <v>144</v>
      </c>
      <c r="X151" s="3" t="s">
        <v>382</v>
      </c>
      <c r="Y151" s="3">
        <v>0</v>
      </c>
      <c r="Z151" s="3">
        <v>60000</v>
      </c>
      <c r="AA151" s="3">
        <v>60000</v>
      </c>
      <c r="AB151" s="5">
        <v>200</v>
      </c>
      <c r="AC151" s="5">
        <v>1</v>
      </c>
      <c r="AD151" s="5">
        <v>2</v>
      </c>
      <c r="AE151" s="5">
        <v>5.0000000000000001E-4</v>
      </c>
      <c r="AF151" s="5">
        <v>5.0000000000000001E-4</v>
      </c>
      <c r="AG151" s="5">
        <v>150</v>
      </c>
      <c r="AH151" s="5">
        <v>-1.5</v>
      </c>
      <c r="AI151" s="5">
        <v>1.5</v>
      </c>
      <c r="AJ151" s="45">
        <v>0</v>
      </c>
      <c r="AK151" s="45">
        <v>0</v>
      </c>
      <c r="AL151" s="45">
        <v>0</v>
      </c>
      <c r="AM151" s="23">
        <v>0</v>
      </c>
      <c r="AN151" s="23">
        <v>0</v>
      </c>
      <c r="AO151" s="23">
        <v>0</v>
      </c>
      <c r="AP151" s="23">
        <v>0</v>
      </c>
      <c r="AQ151" s="23">
        <v>0</v>
      </c>
      <c r="AR151" s="23">
        <v>0</v>
      </c>
      <c r="AS151" s="25">
        <v>0</v>
      </c>
      <c r="AT151" s="54">
        <v>0</v>
      </c>
      <c r="AU151" s="52">
        <v>0</v>
      </c>
      <c r="AV151" s="52">
        <v>0</v>
      </c>
      <c r="AW151" s="52">
        <v>0</v>
      </c>
      <c r="AX151" s="38">
        <v>0</v>
      </c>
      <c r="AY151" s="38">
        <v>0</v>
      </c>
      <c r="AZ151" s="38">
        <v>0</v>
      </c>
      <c r="BA151" s="38">
        <v>0</v>
      </c>
      <c r="BB151" s="38">
        <v>0</v>
      </c>
      <c r="BC151" s="38">
        <v>0</v>
      </c>
      <c r="BD151" s="38">
        <v>0</v>
      </c>
      <c r="BE151" s="38">
        <v>0</v>
      </c>
      <c r="BF151" s="38">
        <v>0</v>
      </c>
      <c r="BG151" s="38">
        <v>0</v>
      </c>
      <c r="BH151" s="40">
        <v>3</v>
      </c>
      <c r="BI151" s="40" t="s">
        <v>1469</v>
      </c>
      <c r="BJ151" s="40">
        <v>0</v>
      </c>
    </row>
    <row r="152" spans="1:62" x14ac:dyDescent="0.25">
      <c r="A152" s="6">
        <v>131</v>
      </c>
      <c r="B152" s="6" t="s">
        <v>1761</v>
      </c>
      <c r="C152" s="6" t="s">
        <v>1473</v>
      </c>
      <c r="D152" s="6" t="s">
        <v>1473</v>
      </c>
      <c r="E152" s="6" t="s">
        <v>1474</v>
      </c>
      <c r="F152" s="6" t="s">
        <v>829</v>
      </c>
      <c r="G152" s="17">
        <v>44701.212685185186</v>
      </c>
      <c r="H152" s="21">
        <v>-7</v>
      </c>
      <c r="I152" s="4">
        <f t="shared" si="7"/>
        <v>44700.921018518522</v>
      </c>
      <c r="J152" s="3">
        <v>1</v>
      </c>
      <c r="K152" s="3">
        <v>15160</v>
      </c>
      <c r="L152" s="3">
        <f t="shared" si="6"/>
        <v>2.7464818355640533E-5</v>
      </c>
      <c r="M152" s="3">
        <v>323</v>
      </c>
      <c r="N152" s="3">
        <v>19.600000000000001</v>
      </c>
      <c r="O152" s="3" t="s">
        <v>1334</v>
      </c>
      <c r="P152" s="3">
        <v>31.752700000000001</v>
      </c>
      <c r="Q152" s="3">
        <v>-112.88930000000001</v>
      </c>
      <c r="R152" s="3">
        <v>25000</v>
      </c>
      <c r="S152" s="3">
        <v>25000</v>
      </c>
      <c r="T152" s="3">
        <v>10000</v>
      </c>
      <c r="U152" s="3">
        <v>19.600000000000001</v>
      </c>
      <c r="V152" s="3">
        <v>25000</v>
      </c>
      <c r="W152" s="3" t="s">
        <v>144</v>
      </c>
      <c r="X152" s="3" t="s">
        <v>382</v>
      </c>
      <c r="Y152" s="3">
        <v>0</v>
      </c>
      <c r="Z152" s="3">
        <v>60000</v>
      </c>
      <c r="AA152" s="3">
        <v>60000</v>
      </c>
      <c r="AB152" s="5">
        <v>200</v>
      </c>
      <c r="AC152" s="5">
        <v>1.5</v>
      </c>
      <c r="AD152" s="5">
        <v>1</v>
      </c>
      <c r="AE152" s="5">
        <v>2.5000000000000001E-2</v>
      </c>
      <c r="AF152" s="5">
        <v>0.03</v>
      </c>
      <c r="AG152" s="5">
        <v>250</v>
      </c>
      <c r="AH152" s="5">
        <v>-1.5</v>
      </c>
      <c r="AI152" s="5">
        <v>1.5</v>
      </c>
      <c r="AJ152" s="45">
        <v>0</v>
      </c>
      <c r="AK152" s="45">
        <v>0</v>
      </c>
      <c r="AL152" s="45">
        <v>0</v>
      </c>
      <c r="AM152" s="23">
        <v>0</v>
      </c>
      <c r="AN152" s="23">
        <v>0</v>
      </c>
      <c r="AO152" s="23">
        <v>0</v>
      </c>
      <c r="AP152" s="23">
        <v>0</v>
      </c>
      <c r="AQ152" s="23">
        <v>0</v>
      </c>
      <c r="AR152" s="23">
        <v>0</v>
      </c>
      <c r="AS152" s="25">
        <v>0</v>
      </c>
      <c r="AT152" s="54">
        <v>0</v>
      </c>
      <c r="AU152" s="52">
        <v>0</v>
      </c>
      <c r="AV152" s="52">
        <v>0</v>
      </c>
      <c r="AW152" s="52">
        <v>0</v>
      </c>
      <c r="AX152" s="38">
        <v>0</v>
      </c>
      <c r="AY152" s="38">
        <v>0</v>
      </c>
      <c r="AZ152" s="38">
        <v>0</v>
      </c>
      <c r="BA152" s="38">
        <v>0</v>
      </c>
      <c r="BB152" s="38">
        <v>0</v>
      </c>
      <c r="BC152" s="38">
        <v>0</v>
      </c>
      <c r="BD152" s="38">
        <v>0</v>
      </c>
      <c r="BE152" s="38">
        <v>0</v>
      </c>
      <c r="BF152" s="38">
        <v>0</v>
      </c>
      <c r="BG152" s="38">
        <v>0</v>
      </c>
      <c r="BH152" s="40">
        <v>3</v>
      </c>
      <c r="BI152" s="40" t="s">
        <v>104</v>
      </c>
      <c r="BJ152" s="40">
        <v>0</v>
      </c>
    </row>
    <row r="153" spans="1:62" x14ac:dyDescent="0.25">
      <c r="A153" s="6">
        <v>135</v>
      </c>
      <c r="B153" s="6" t="s">
        <v>1765</v>
      </c>
      <c r="C153" s="6" t="s">
        <v>1478</v>
      </c>
      <c r="D153" s="6" t="s">
        <v>1478</v>
      </c>
      <c r="E153" s="6" t="s">
        <v>56</v>
      </c>
      <c r="F153" s="6" t="s">
        <v>4</v>
      </c>
      <c r="G153" s="17">
        <v>44764.244525462964</v>
      </c>
      <c r="H153" s="21">
        <v>-4</v>
      </c>
      <c r="I153" s="4">
        <f t="shared" si="7"/>
        <v>44764.0778587963</v>
      </c>
      <c r="J153" s="3">
        <v>10</v>
      </c>
      <c r="K153" s="3">
        <v>13640</v>
      </c>
      <c r="L153" s="3">
        <f t="shared" si="6"/>
        <v>2.2233460803059273E-4</v>
      </c>
      <c r="M153" s="3">
        <v>34</v>
      </c>
      <c r="N153" s="3">
        <v>46</v>
      </c>
      <c r="O153" s="3" t="s">
        <v>1334</v>
      </c>
      <c r="P153" s="3">
        <v>40.3386</v>
      </c>
      <c r="Q153" s="3">
        <v>-86.331400000000002</v>
      </c>
      <c r="R153" s="3">
        <v>13970</v>
      </c>
      <c r="S153" s="3">
        <v>13970</v>
      </c>
      <c r="T153" s="3">
        <v>13640</v>
      </c>
      <c r="U153" s="3">
        <v>84.69</v>
      </c>
      <c r="V153" s="3">
        <v>14200</v>
      </c>
      <c r="W153" s="3" t="s">
        <v>144</v>
      </c>
      <c r="X153" s="3" t="s">
        <v>382</v>
      </c>
      <c r="Y153" s="3">
        <v>0</v>
      </c>
      <c r="Z153" s="3">
        <v>60000</v>
      </c>
      <c r="AA153" s="3">
        <v>60000</v>
      </c>
      <c r="AB153" s="5">
        <v>1000</v>
      </c>
      <c r="AC153" s="5">
        <v>2</v>
      </c>
      <c r="AD153" s="5">
        <v>3</v>
      </c>
      <c r="AE153" s="5">
        <v>0.02</v>
      </c>
      <c r="AF153" s="5">
        <v>2.9000000000000001E-2</v>
      </c>
      <c r="AG153" s="5">
        <v>1010</v>
      </c>
      <c r="AH153" s="5">
        <v>-1.5</v>
      </c>
      <c r="AI153" s="5">
        <v>1.5</v>
      </c>
      <c r="AJ153" s="45">
        <v>0</v>
      </c>
      <c r="AK153" s="45">
        <v>0</v>
      </c>
      <c r="AL153" s="45">
        <v>0</v>
      </c>
      <c r="AM153" s="23">
        <v>0</v>
      </c>
      <c r="AN153" s="23">
        <v>0</v>
      </c>
      <c r="AO153" s="23">
        <v>0</v>
      </c>
      <c r="AP153" s="23">
        <v>0</v>
      </c>
      <c r="AQ153" s="23">
        <v>0</v>
      </c>
      <c r="AR153" s="23">
        <v>0</v>
      </c>
      <c r="AS153" s="25">
        <v>0</v>
      </c>
      <c r="AT153" s="54">
        <v>0</v>
      </c>
      <c r="AU153" s="52">
        <v>0</v>
      </c>
      <c r="AV153" s="52">
        <v>0</v>
      </c>
      <c r="AW153" s="52">
        <v>0</v>
      </c>
      <c r="AX153" s="38">
        <v>0</v>
      </c>
      <c r="AY153" s="38">
        <v>0</v>
      </c>
      <c r="AZ153" s="38">
        <v>0</v>
      </c>
      <c r="BA153" s="38">
        <v>0</v>
      </c>
      <c r="BB153" s="38">
        <v>0</v>
      </c>
      <c r="BC153" s="38">
        <v>0</v>
      </c>
      <c r="BD153" s="38">
        <v>0</v>
      </c>
      <c r="BE153" s="38">
        <v>0</v>
      </c>
      <c r="BF153" s="38">
        <v>0</v>
      </c>
      <c r="BG153" s="38">
        <v>0</v>
      </c>
      <c r="BH153" s="40">
        <v>2</v>
      </c>
      <c r="BI153" s="40" t="s">
        <v>1416</v>
      </c>
      <c r="BJ153" s="40">
        <v>0</v>
      </c>
    </row>
    <row r="154" spans="1:62" x14ac:dyDescent="0.25">
      <c r="A154" s="6">
        <v>136</v>
      </c>
      <c r="B154" s="6" t="s">
        <v>1766</v>
      </c>
      <c r="C154" s="6" t="s">
        <v>1479</v>
      </c>
      <c r="D154" s="6" t="s">
        <v>1479</v>
      </c>
      <c r="E154" s="6" t="s">
        <v>1390</v>
      </c>
      <c r="F154" s="6" t="s">
        <v>4</v>
      </c>
      <c r="G154" s="17">
        <v>44767.140925925924</v>
      </c>
      <c r="H154" s="21">
        <v>-5</v>
      </c>
      <c r="I154" s="4">
        <f t="shared" si="7"/>
        <v>44766.932592592588</v>
      </c>
      <c r="J154" s="3">
        <v>10</v>
      </c>
      <c r="K154" s="3">
        <v>16870</v>
      </c>
      <c r="L154" s="3">
        <f t="shared" si="6"/>
        <v>3.4010145793499043E-4</v>
      </c>
      <c r="M154" s="3">
        <v>318</v>
      </c>
      <c r="N154" s="3">
        <v>64</v>
      </c>
      <c r="O154" s="3" t="s">
        <v>1334</v>
      </c>
      <c r="P154" s="3">
        <v>29.986000000000001</v>
      </c>
      <c r="Q154" s="3">
        <v>-97.768000000000001</v>
      </c>
      <c r="R154" s="3">
        <v>34000</v>
      </c>
      <c r="S154" s="3">
        <v>34000</v>
      </c>
      <c r="T154" s="3">
        <v>20000</v>
      </c>
      <c r="U154" s="3">
        <v>62</v>
      </c>
      <c r="V154" s="3">
        <v>34000</v>
      </c>
      <c r="W154" s="3" t="s">
        <v>144</v>
      </c>
      <c r="X154" s="3" t="s">
        <v>382</v>
      </c>
      <c r="Y154" s="3">
        <v>0</v>
      </c>
      <c r="Z154" s="3">
        <v>60000</v>
      </c>
      <c r="AA154" s="3">
        <v>60000</v>
      </c>
      <c r="AB154" s="5">
        <v>500</v>
      </c>
      <c r="AC154" s="5">
        <v>2</v>
      </c>
      <c r="AD154" s="5">
        <v>4</v>
      </c>
      <c r="AE154" s="5">
        <v>2.3E-2</v>
      </c>
      <c r="AF154" s="5">
        <v>2.3E-2</v>
      </c>
      <c r="AG154" s="5">
        <v>3000</v>
      </c>
      <c r="AH154" s="5">
        <v>-1.5</v>
      </c>
      <c r="AI154" s="5">
        <v>1.5</v>
      </c>
      <c r="AJ154" s="45">
        <v>0</v>
      </c>
      <c r="AK154" s="45">
        <v>0</v>
      </c>
      <c r="AL154" s="45">
        <v>0</v>
      </c>
      <c r="AM154" s="23">
        <v>0</v>
      </c>
      <c r="AN154" s="23">
        <v>0</v>
      </c>
      <c r="AO154" s="23">
        <v>0</v>
      </c>
      <c r="AP154" s="23">
        <v>0</v>
      </c>
      <c r="AQ154" s="23">
        <v>0</v>
      </c>
      <c r="AR154" s="23">
        <v>0</v>
      </c>
      <c r="AS154" s="25">
        <v>0</v>
      </c>
      <c r="AT154" s="54">
        <v>0</v>
      </c>
      <c r="AU154" s="52">
        <v>0</v>
      </c>
      <c r="AV154" s="52">
        <v>0</v>
      </c>
      <c r="AW154" s="52">
        <v>0</v>
      </c>
      <c r="AX154" s="38">
        <v>0</v>
      </c>
      <c r="AY154" s="38">
        <v>0</v>
      </c>
      <c r="AZ154" s="38">
        <v>0</v>
      </c>
      <c r="BA154" s="38">
        <v>0</v>
      </c>
      <c r="BB154" s="38">
        <v>0</v>
      </c>
      <c r="BC154" s="38">
        <v>0</v>
      </c>
      <c r="BD154" s="38">
        <v>0</v>
      </c>
      <c r="BE154" s="38">
        <v>0</v>
      </c>
      <c r="BF154" s="38">
        <v>0</v>
      </c>
      <c r="BG154" s="38">
        <v>0</v>
      </c>
      <c r="BH154" s="40">
        <v>2</v>
      </c>
      <c r="BI154" s="40" t="s">
        <v>1416</v>
      </c>
      <c r="BJ154" s="40">
        <v>0</v>
      </c>
    </row>
    <row r="155" spans="1:62" x14ac:dyDescent="0.25">
      <c r="A155" s="6">
        <v>137</v>
      </c>
      <c r="B155" s="6" t="s">
        <v>1767</v>
      </c>
      <c r="C155" s="6" t="s">
        <v>1480</v>
      </c>
      <c r="D155" s="6" t="s">
        <v>1480</v>
      </c>
      <c r="E155" s="6" t="s">
        <v>1481</v>
      </c>
      <c r="F155" s="6" t="s">
        <v>4</v>
      </c>
      <c r="G155" s="17">
        <v>44772.081250000003</v>
      </c>
      <c r="H155" s="21">
        <v>-4</v>
      </c>
      <c r="I155" s="4">
        <f t="shared" si="7"/>
        <v>44771.914583333339</v>
      </c>
      <c r="J155" s="3">
        <v>90.7</v>
      </c>
      <c r="K155" s="3">
        <v>20500</v>
      </c>
      <c r="L155" s="3">
        <f t="shared" si="6"/>
        <v>4.5550519837476103E-3</v>
      </c>
      <c r="M155" s="3">
        <v>317.2</v>
      </c>
      <c r="N155" s="3">
        <v>66.5</v>
      </c>
      <c r="O155" s="3" t="s">
        <v>1334</v>
      </c>
      <c r="P155" s="3">
        <v>39.601999999999997</v>
      </c>
      <c r="Q155" s="3">
        <v>-78.905000000000001</v>
      </c>
      <c r="R155" s="3">
        <v>51500</v>
      </c>
      <c r="S155" s="3">
        <v>51500</v>
      </c>
      <c r="T155" s="3">
        <v>20500</v>
      </c>
      <c r="U155" s="3">
        <v>66.5</v>
      </c>
      <c r="V155" s="3">
        <v>51500</v>
      </c>
      <c r="W155" s="3" t="s">
        <v>144</v>
      </c>
      <c r="X155" s="3" t="s">
        <v>382</v>
      </c>
      <c r="Y155" s="3">
        <v>0</v>
      </c>
      <c r="Z155" s="3">
        <v>60000</v>
      </c>
      <c r="AA155" s="3">
        <v>60000</v>
      </c>
      <c r="AB155" s="5">
        <v>2000</v>
      </c>
      <c r="AC155" s="5">
        <v>5</v>
      </c>
      <c r="AD155" s="5">
        <v>5</v>
      </c>
      <c r="AE155" s="5">
        <v>0.05</v>
      </c>
      <c r="AF155" s="5">
        <v>0.05</v>
      </c>
      <c r="AG155" s="5">
        <v>2000</v>
      </c>
      <c r="AH155" s="5">
        <v>-1.5</v>
      </c>
      <c r="AI155" s="5">
        <v>1.5</v>
      </c>
      <c r="AJ155" s="45">
        <v>0</v>
      </c>
      <c r="AK155" s="45">
        <v>0</v>
      </c>
      <c r="AL155" s="45">
        <v>0</v>
      </c>
      <c r="AM155" s="23">
        <v>0</v>
      </c>
      <c r="AN155" s="23">
        <v>0</v>
      </c>
      <c r="AO155" s="23">
        <v>0</v>
      </c>
      <c r="AP155" s="23">
        <v>0</v>
      </c>
      <c r="AQ155" s="23">
        <v>0</v>
      </c>
      <c r="AR155" s="23">
        <v>0</v>
      </c>
      <c r="AS155" s="25">
        <v>0</v>
      </c>
      <c r="AT155" s="54">
        <v>0</v>
      </c>
      <c r="AU155" s="52">
        <v>0</v>
      </c>
      <c r="AV155" s="52">
        <v>0</v>
      </c>
      <c r="AW155" s="52">
        <v>0</v>
      </c>
      <c r="AX155" s="38">
        <v>0</v>
      </c>
      <c r="AY155" s="38">
        <v>0</v>
      </c>
      <c r="AZ155" s="38">
        <v>0</v>
      </c>
      <c r="BA155" s="38">
        <v>0</v>
      </c>
      <c r="BB155" s="38">
        <v>0</v>
      </c>
      <c r="BC155" s="38">
        <v>0</v>
      </c>
      <c r="BD155" s="38">
        <v>0</v>
      </c>
      <c r="BE155" s="38">
        <v>0</v>
      </c>
      <c r="BF155" s="38">
        <v>0</v>
      </c>
      <c r="BG155" s="38">
        <v>0</v>
      </c>
      <c r="BH155" s="40">
        <v>1</v>
      </c>
      <c r="BI155" s="40" t="s">
        <v>1416</v>
      </c>
      <c r="BJ155" s="40">
        <v>0</v>
      </c>
    </row>
    <row r="156" spans="1:62" x14ac:dyDescent="0.25">
      <c r="A156" s="6">
        <v>138</v>
      </c>
      <c r="B156" s="6" t="s">
        <v>1768</v>
      </c>
      <c r="C156" s="6" t="s">
        <v>1482</v>
      </c>
      <c r="D156" s="6" t="s">
        <v>1482</v>
      </c>
      <c r="E156" s="6" t="s">
        <v>1483</v>
      </c>
      <c r="F156" s="6" t="s">
        <v>4</v>
      </c>
      <c r="G156" s="17">
        <v>44786.60434027778</v>
      </c>
      <c r="H156" s="21">
        <v>-6</v>
      </c>
      <c r="I156" s="4">
        <f t="shared" si="7"/>
        <v>44786.35434027778</v>
      </c>
      <c r="J156" s="3">
        <v>10000</v>
      </c>
      <c r="K156" s="3">
        <v>18000</v>
      </c>
      <c r="L156" s="3">
        <f t="shared" si="6"/>
        <v>0.38718929254302098</v>
      </c>
      <c r="M156" s="3">
        <v>272.33999999999997</v>
      </c>
      <c r="N156" s="3">
        <v>76</v>
      </c>
      <c r="O156" s="3" t="s">
        <v>1334</v>
      </c>
      <c r="P156" s="3">
        <v>40.700099999999999</v>
      </c>
      <c r="Q156" s="3">
        <v>-112.27070000000001</v>
      </c>
      <c r="R156" s="3">
        <v>33000</v>
      </c>
      <c r="S156" s="3">
        <v>33000</v>
      </c>
      <c r="T156" s="3">
        <v>18000</v>
      </c>
      <c r="U156" s="3">
        <v>76</v>
      </c>
      <c r="V156" s="3">
        <v>33000</v>
      </c>
      <c r="W156" s="3" t="s">
        <v>79</v>
      </c>
      <c r="X156" s="3" t="s">
        <v>382</v>
      </c>
      <c r="Y156" s="3">
        <v>0</v>
      </c>
      <c r="Z156" s="3">
        <v>60000</v>
      </c>
      <c r="AA156" s="3">
        <v>60000</v>
      </c>
      <c r="AB156" s="5">
        <v>2500</v>
      </c>
      <c r="AC156" s="5">
        <v>1.9</v>
      </c>
      <c r="AD156" s="5">
        <v>3</v>
      </c>
      <c r="AE156" s="5">
        <v>6.0000000000000001E-3</v>
      </c>
      <c r="AF156" s="5">
        <v>6.0000000000000001E-3</v>
      </c>
      <c r="AG156" s="5">
        <v>2000</v>
      </c>
      <c r="AH156" s="5">
        <v>-1.5</v>
      </c>
      <c r="AI156" s="5">
        <v>1.5</v>
      </c>
      <c r="AJ156" s="45">
        <v>0</v>
      </c>
      <c r="AK156" s="45">
        <v>0</v>
      </c>
      <c r="AL156" s="45">
        <v>0</v>
      </c>
      <c r="AM156" s="23">
        <v>0</v>
      </c>
      <c r="AN156" s="23">
        <v>2</v>
      </c>
      <c r="AO156" s="23">
        <v>0</v>
      </c>
      <c r="AP156" s="23">
        <v>0</v>
      </c>
      <c r="AQ156" s="23">
        <v>0</v>
      </c>
      <c r="AR156" s="23">
        <v>0</v>
      </c>
      <c r="AS156" s="25">
        <v>0</v>
      </c>
      <c r="AT156" s="54">
        <v>0</v>
      </c>
      <c r="AU156" s="52">
        <v>0</v>
      </c>
      <c r="AV156" s="52">
        <v>0</v>
      </c>
      <c r="AW156" s="52">
        <v>0</v>
      </c>
      <c r="AX156" s="38">
        <v>0</v>
      </c>
      <c r="AY156" s="38">
        <v>0</v>
      </c>
      <c r="AZ156" s="38">
        <v>0</v>
      </c>
      <c r="BA156" s="38">
        <v>0</v>
      </c>
      <c r="BB156" s="38">
        <v>0</v>
      </c>
      <c r="BC156" s="38">
        <v>0</v>
      </c>
      <c r="BD156" s="38">
        <v>0</v>
      </c>
      <c r="BE156" s="38">
        <v>0</v>
      </c>
      <c r="BF156" s="38">
        <v>0</v>
      </c>
      <c r="BG156" s="38">
        <v>0</v>
      </c>
      <c r="BH156" s="40">
        <v>3</v>
      </c>
      <c r="BI156" s="40" t="s">
        <v>1416</v>
      </c>
      <c r="BJ156" s="40">
        <v>0</v>
      </c>
    </row>
    <row r="157" spans="1:62" x14ac:dyDescent="0.25">
      <c r="A157" s="6">
        <v>139</v>
      </c>
      <c r="B157" s="6" t="s">
        <v>1768</v>
      </c>
      <c r="C157" s="6" t="s">
        <v>1484</v>
      </c>
      <c r="D157" s="6" t="s">
        <v>1482</v>
      </c>
      <c r="E157" s="6" t="s">
        <v>1483</v>
      </c>
      <c r="F157" s="6" t="s">
        <v>4</v>
      </c>
      <c r="G157" s="17">
        <v>44786.60434027778</v>
      </c>
      <c r="H157" s="21">
        <v>-6</v>
      </c>
      <c r="I157" s="4">
        <f t="shared" si="7"/>
        <v>44786.35434027778</v>
      </c>
      <c r="J157" s="3">
        <v>200</v>
      </c>
      <c r="K157" s="3">
        <v>8000</v>
      </c>
      <c r="L157" s="3">
        <f t="shared" si="6"/>
        <v>1.5296367112810707E-3</v>
      </c>
      <c r="M157" s="3">
        <v>272.33999999999997</v>
      </c>
      <c r="N157" s="3">
        <v>70</v>
      </c>
      <c r="O157" s="3" t="s">
        <v>1334</v>
      </c>
      <c r="P157" s="3">
        <v>40.709463</v>
      </c>
      <c r="Q157" s="3">
        <v>-112.26336999999999</v>
      </c>
      <c r="R157" s="3">
        <v>33000</v>
      </c>
      <c r="S157" s="3">
        <v>33000</v>
      </c>
      <c r="T157" s="3">
        <v>18000</v>
      </c>
      <c r="U157" s="3">
        <v>70</v>
      </c>
      <c r="V157" s="3">
        <v>33000</v>
      </c>
      <c r="W157" s="3" t="s">
        <v>79</v>
      </c>
      <c r="X157" s="3" t="s">
        <v>382</v>
      </c>
      <c r="Y157" s="3">
        <v>0</v>
      </c>
      <c r="Z157" s="3">
        <v>34000</v>
      </c>
      <c r="AA157" s="3">
        <v>34000</v>
      </c>
      <c r="AB157" s="5">
        <v>0</v>
      </c>
      <c r="AC157" s="5">
        <v>0</v>
      </c>
      <c r="AD157" s="5">
        <v>0</v>
      </c>
      <c r="AE157" s="5">
        <v>6.0000000000000001E-3</v>
      </c>
      <c r="AF157" s="5">
        <v>6.0000000000000001E-3</v>
      </c>
      <c r="AG157" s="5">
        <v>0</v>
      </c>
      <c r="AH157" s="5">
        <v>-1.5</v>
      </c>
      <c r="AI157" s="5">
        <v>1.5</v>
      </c>
      <c r="AJ157" s="45">
        <v>0</v>
      </c>
      <c r="AK157" s="45">
        <v>0</v>
      </c>
      <c r="AL157" s="45">
        <v>0</v>
      </c>
      <c r="AM157" s="23">
        <v>0</v>
      </c>
      <c r="AN157" s="23">
        <v>2</v>
      </c>
      <c r="AO157" s="23">
        <v>0</v>
      </c>
      <c r="AP157" s="23">
        <v>0</v>
      </c>
      <c r="AQ157" s="23">
        <v>0</v>
      </c>
      <c r="AR157" s="23">
        <v>0</v>
      </c>
      <c r="AS157" s="25">
        <v>0</v>
      </c>
      <c r="AT157" s="54">
        <v>0</v>
      </c>
      <c r="AU157" s="52">
        <v>0</v>
      </c>
      <c r="AV157" s="52">
        <v>0</v>
      </c>
      <c r="AW157" s="52">
        <v>0</v>
      </c>
      <c r="AX157" s="38">
        <v>0</v>
      </c>
      <c r="AY157" s="38">
        <v>0</v>
      </c>
      <c r="AZ157" s="38">
        <v>0</v>
      </c>
      <c r="BA157" s="38">
        <v>0</v>
      </c>
      <c r="BB157" s="38">
        <v>0</v>
      </c>
      <c r="BC157" s="38">
        <v>0</v>
      </c>
      <c r="BD157" s="38">
        <v>0</v>
      </c>
      <c r="BE157" s="38">
        <v>0</v>
      </c>
      <c r="BF157" s="38">
        <v>0</v>
      </c>
      <c r="BG157" s="38">
        <v>0</v>
      </c>
      <c r="BH157" s="40">
        <v>3</v>
      </c>
      <c r="BI157" s="40" t="s">
        <v>1416</v>
      </c>
      <c r="BJ157" s="40">
        <v>0</v>
      </c>
    </row>
    <row r="158" spans="1:62" x14ac:dyDescent="0.25">
      <c r="A158" s="6">
        <v>140</v>
      </c>
      <c r="B158" s="6" t="s">
        <v>1769</v>
      </c>
      <c r="C158" s="6" t="s">
        <v>1485</v>
      </c>
      <c r="D158" s="6" t="s">
        <v>1485</v>
      </c>
      <c r="E158" s="6" t="s">
        <v>648</v>
      </c>
      <c r="F158" s="6" t="s">
        <v>4</v>
      </c>
      <c r="G158" s="17">
        <v>44830.170005659726</v>
      </c>
      <c r="H158" s="21">
        <v>-4</v>
      </c>
      <c r="I158" s="4">
        <f t="shared" si="7"/>
        <v>44830.003338993061</v>
      </c>
      <c r="J158" s="3">
        <v>10</v>
      </c>
      <c r="K158" s="3">
        <v>11882</v>
      </c>
      <c r="L158" s="3">
        <f t="shared" si="6"/>
        <v>1.6871644837476097E-4</v>
      </c>
      <c r="M158" s="3">
        <v>353.04629999999997</v>
      </c>
      <c r="N158" s="3">
        <f>90-73.1599</f>
        <v>16.840100000000007</v>
      </c>
      <c r="O158" s="3" t="s">
        <v>1334</v>
      </c>
      <c r="P158" s="3">
        <v>32.603700000000003</v>
      </c>
      <c r="Q158" s="3">
        <v>-84.454800000000006</v>
      </c>
      <c r="R158" s="3">
        <v>26917</v>
      </c>
      <c r="S158" s="3">
        <v>26917</v>
      </c>
      <c r="T158" s="3">
        <v>11882</v>
      </c>
      <c r="U158" s="3">
        <v>15.635899999999999</v>
      </c>
      <c r="V158" s="3">
        <v>26917</v>
      </c>
      <c r="W158" s="3" t="s">
        <v>79</v>
      </c>
      <c r="X158" s="3" t="s">
        <v>382</v>
      </c>
      <c r="Y158" s="3">
        <v>0</v>
      </c>
      <c r="Z158" s="3">
        <v>60000</v>
      </c>
      <c r="AA158" s="3">
        <v>60000</v>
      </c>
      <c r="AB158" s="5">
        <v>818</v>
      </c>
      <c r="AC158" s="5">
        <v>6.5448000000000004</v>
      </c>
      <c r="AD158" s="5">
        <v>2.6467000000000001</v>
      </c>
      <c r="AE158" s="5">
        <v>4.0000000000000001E-3</v>
      </c>
      <c r="AF158" s="5">
        <v>4.0000000000000001E-3</v>
      </c>
      <c r="AG158" s="5">
        <v>263</v>
      </c>
      <c r="AH158" s="5">
        <v>-1.5</v>
      </c>
      <c r="AI158" s="5">
        <v>1.5</v>
      </c>
      <c r="AJ158" s="45">
        <v>0</v>
      </c>
      <c r="AK158" s="45">
        <v>0</v>
      </c>
      <c r="AL158" s="45">
        <v>0</v>
      </c>
      <c r="AM158" s="23">
        <v>0</v>
      </c>
      <c r="AN158" s="23">
        <v>0</v>
      </c>
      <c r="AO158" s="23">
        <v>0</v>
      </c>
      <c r="AP158" s="23">
        <v>0</v>
      </c>
      <c r="AQ158" s="23">
        <v>0</v>
      </c>
      <c r="AR158" s="23">
        <v>0</v>
      </c>
      <c r="AS158" s="25">
        <v>0</v>
      </c>
      <c r="AT158" s="54">
        <v>0</v>
      </c>
      <c r="AU158" s="52">
        <v>0</v>
      </c>
      <c r="AV158" s="52">
        <v>0</v>
      </c>
      <c r="AW158" s="52">
        <v>0</v>
      </c>
      <c r="AX158" s="38">
        <v>0</v>
      </c>
      <c r="AY158" s="38">
        <v>0</v>
      </c>
      <c r="AZ158" s="38">
        <v>0</v>
      </c>
      <c r="BA158" s="38">
        <v>0</v>
      </c>
      <c r="BB158" s="38">
        <v>0</v>
      </c>
      <c r="BC158" s="38">
        <v>0</v>
      </c>
      <c r="BD158" s="38">
        <v>0</v>
      </c>
      <c r="BE158" s="38">
        <v>0</v>
      </c>
      <c r="BF158" s="38">
        <v>0</v>
      </c>
      <c r="BG158" s="38">
        <v>0</v>
      </c>
      <c r="BH158" s="40">
        <v>3</v>
      </c>
      <c r="BI158" s="40" t="s">
        <v>1416</v>
      </c>
      <c r="BJ158" s="40">
        <v>0</v>
      </c>
    </row>
    <row r="159" spans="1:62" x14ac:dyDescent="0.25">
      <c r="A159" s="6">
        <v>142</v>
      </c>
      <c r="B159" s="6" t="s">
        <v>1770</v>
      </c>
      <c r="C159" s="6" t="s">
        <v>1490</v>
      </c>
      <c r="D159" s="6" t="s">
        <v>1488</v>
      </c>
      <c r="E159" s="6" t="s">
        <v>1489</v>
      </c>
      <c r="F159" s="6" t="s">
        <v>1486</v>
      </c>
      <c r="G159" s="17">
        <v>44845.791527777779</v>
      </c>
      <c r="H159" s="21">
        <v>2</v>
      </c>
      <c r="I159" s="4">
        <f t="shared" si="7"/>
        <v>44845.874861111115</v>
      </c>
      <c r="J159" s="3">
        <v>10</v>
      </c>
      <c r="K159" s="3">
        <v>23218</v>
      </c>
      <c r="L159" s="3">
        <f t="shared" si="6"/>
        <v>6.4421071223709373E-4</v>
      </c>
      <c r="M159" s="3">
        <v>285.27879999999999</v>
      </c>
      <c r="N159" s="3">
        <v>57.847799999999999</v>
      </c>
      <c r="O159" s="3" t="s">
        <v>1334</v>
      </c>
      <c r="P159" s="3">
        <v>44.761505</v>
      </c>
      <c r="Q159" s="3">
        <v>16.846539</v>
      </c>
      <c r="R159" s="3">
        <v>33880</v>
      </c>
      <c r="S159" s="3">
        <v>33880</v>
      </c>
      <c r="T159" s="3">
        <v>23218</v>
      </c>
      <c r="U159" s="3">
        <v>57.847799999999999</v>
      </c>
      <c r="V159" s="3">
        <v>33880</v>
      </c>
      <c r="W159" s="3" t="s">
        <v>144</v>
      </c>
      <c r="X159" s="3" t="s">
        <v>382</v>
      </c>
      <c r="Y159" s="3">
        <v>0</v>
      </c>
      <c r="Z159" s="3">
        <v>60000</v>
      </c>
      <c r="AA159" s="3">
        <v>60000</v>
      </c>
      <c r="AB159" s="5">
        <v>1000</v>
      </c>
      <c r="AC159" s="5">
        <v>2.6</v>
      </c>
      <c r="AD159" s="5">
        <v>1.9</v>
      </c>
      <c r="AE159" s="5">
        <v>0.01</v>
      </c>
      <c r="AF159" s="5">
        <v>0.01</v>
      </c>
      <c r="AG159" s="5">
        <v>1000</v>
      </c>
      <c r="AH159" s="5">
        <v>-1.5</v>
      </c>
      <c r="AI159" s="5">
        <v>1.5</v>
      </c>
      <c r="AJ159" s="45">
        <v>0</v>
      </c>
      <c r="AK159" s="45">
        <v>0</v>
      </c>
      <c r="AL159" s="45">
        <v>0</v>
      </c>
      <c r="AM159" s="23">
        <v>0</v>
      </c>
      <c r="AN159" s="23">
        <v>0</v>
      </c>
      <c r="AO159" s="23">
        <v>0</v>
      </c>
      <c r="AP159" s="23">
        <v>0</v>
      </c>
      <c r="AQ159" s="23">
        <v>0</v>
      </c>
      <c r="AR159" s="23">
        <v>0</v>
      </c>
      <c r="AS159" s="25">
        <v>0</v>
      </c>
      <c r="AT159" s="54">
        <v>0</v>
      </c>
      <c r="AU159" s="52">
        <v>0</v>
      </c>
      <c r="AV159" s="52">
        <v>0</v>
      </c>
      <c r="AW159" s="52">
        <v>0</v>
      </c>
      <c r="AX159" s="38">
        <v>0</v>
      </c>
      <c r="AY159" s="38">
        <v>0</v>
      </c>
      <c r="AZ159" s="38">
        <v>0</v>
      </c>
      <c r="BA159" s="38">
        <v>0</v>
      </c>
      <c r="BB159" s="38">
        <v>0</v>
      </c>
      <c r="BC159" s="38">
        <v>0</v>
      </c>
      <c r="BD159" s="38">
        <v>0</v>
      </c>
      <c r="BE159" s="38">
        <v>0</v>
      </c>
      <c r="BF159" s="38">
        <v>0</v>
      </c>
      <c r="BG159" s="38">
        <v>0</v>
      </c>
      <c r="BH159" s="40">
        <v>2</v>
      </c>
      <c r="BI159" s="40" t="s">
        <v>1487</v>
      </c>
      <c r="BJ159" s="40">
        <v>0</v>
      </c>
    </row>
    <row r="160" spans="1:62" x14ac:dyDescent="0.25">
      <c r="A160" s="6">
        <v>146</v>
      </c>
      <c r="B160" s="6" t="s">
        <v>1774</v>
      </c>
      <c r="C160" s="6" t="s">
        <v>1495</v>
      </c>
      <c r="D160" s="6" t="s">
        <v>1495</v>
      </c>
      <c r="E160" s="6" t="s">
        <v>1496</v>
      </c>
      <c r="F160" s="6" t="s">
        <v>1025</v>
      </c>
      <c r="G160" s="17">
        <v>44846.201388888891</v>
      </c>
      <c r="H160" s="21">
        <v>2</v>
      </c>
      <c r="I160" s="4">
        <f t="shared" si="7"/>
        <v>44846.284722222226</v>
      </c>
      <c r="J160" s="3">
        <v>50</v>
      </c>
      <c r="K160" s="3">
        <v>19160</v>
      </c>
      <c r="L160" s="3">
        <f t="shared" si="6"/>
        <v>2.1935086042065011E-3</v>
      </c>
      <c r="M160" s="3">
        <v>90.57</v>
      </c>
      <c r="N160" s="3">
        <v>69.81</v>
      </c>
      <c r="O160" s="3" t="s">
        <v>1334</v>
      </c>
      <c r="P160" s="3">
        <v>38.247650999999998</v>
      </c>
      <c r="Q160" s="3">
        <v>-1.6034379999999999</v>
      </c>
      <c r="R160" s="3">
        <v>32000</v>
      </c>
      <c r="S160" s="3">
        <v>32000</v>
      </c>
      <c r="T160" s="3">
        <v>19160</v>
      </c>
      <c r="U160" s="3">
        <v>20.190000000000001</v>
      </c>
      <c r="V160" s="3">
        <v>32000</v>
      </c>
      <c r="W160" s="3" t="s">
        <v>144</v>
      </c>
      <c r="X160" s="3" t="s">
        <v>382</v>
      </c>
      <c r="Y160" s="3">
        <v>0</v>
      </c>
      <c r="Z160" s="3">
        <v>60000</v>
      </c>
      <c r="AA160" s="3">
        <v>60000</v>
      </c>
      <c r="AB160" s="5">
        <v>200</v>
      </c>
      <c r="AC160" s="5">
        <v>2</v>
      </c>
      <c r="AD160" s="5">
        <v>2</v>
      </c>
      <c r="AE160" s="5">
        <v>0.01</v>
      </c>
      <c r="AF160" s="5">
        <v>0.01</v>
      </c>
      <c r="AG160" s="5">
        <v>1000</v>
      </c>
      <c r="AH160" s="5">
        <v>-1.5</v>
      </c>
      <c r="AI160" s="5">
        <v>1.5</v>
      </c>
      <c r="AJ160" s="45">
        <v>0</v>
      </c>
      <c r="AK160" s="45">
        <v>0</v>
      </c>
      <c r="AL160" s="45">
        <v>0</v>
      </c>
      <c r="AM160" s="23">
        <v>0</v>
      </c>
      <c r="AN160" s="23">
        <v>0</v>
      </c>
      <c r="AO160" s="23">
        <v>0</v>
      </c>
      <c r="AP160" s="23">
        <v>0</v>
      </c>
      <c r="AQ160" s="23">
        <v>0</v>
      </c>
      <c r="AR160" s="23">
        <v>0</v>
      </c>
      <c r="AS160" s="25">
        <v>0</v>
      </c>
      <c r="AT160" s="54">
        <v>0</v>
      </c>
      <c r="AU160" s="52">
        <v>0</v>
      </c>
      <c r="AV160" s="52">
        <v>0</v>
      </c>
      <c r="AW160" s="52">
        <v>0</v>
      </c>
      <c r="AX160" s="38">
        <v>0</v>
      </c>
      <c r="AY160" s="38">
        <v>0</v>
      </c>
      <c r="AZ160" s="38">
        <v>0</v>
      </c>
      <c r="BA160" s="38">
        <v>0</v>
      </c>
      <c r="BB160" s="38">
        <v>0</v>
      </c>
      <c r="BC160" s="38">
        <v>0</v>
      </c>
      <c r="BD160" s="38">
        <v>0</v>
      </c>
      <c r="BE160" s="38">
        <v>0</v>
      </c>
      <c r="BF160" s="38">
        <v>0</v>
      </c>
      <c r="BG160" s="38">
        <v>0</v>
      </c>
      <c r="BH160" s="40">
        <v>3</v>
      </c>
      <c r="BI160" s="40" t="s">
        <v>1417</v>
      </c>
      <c r="BJ160" s="40">
        <v>0</v>
      </c>
    </row>
    <row r="161" spans="1:62" x14ac:dyDescent="0.25">
      <c r="A161" s="6">
        <v>143</v>
      </c>
      <c r="B161" s="6" t="s">
        <v>1771</v>
      </c>
      <c r="C161" s="6" t="s">
        <v>1492</v>
      </c>
      <c r="D161" s="6" t="s">
        <v>1492</v>
      </c>
      <c r="E161" s="6" t="s">
        <v>1491</v>
      </c>
      <c r="F161" s="6" t="s">
        <v>1025</v>
      </c>
      <c r="G161" s="17">
        <v>44848.780439814815</v>
      </c>
      <c r="H161" s="21">
        <v>2</v>
      </c>
      <c r="I161" s="4">
        <f t="shared" si="7"/>
        <v>44848.86377314815</v>
      </c>
      <c r="J161" s="3">
        <v>2000</v>
      </c>
      <c r="K161" s="3">
        <v>14680</v>
      </c>
      <c r="L161" s="3">
        <f t="shared" si="6"/>
        <v>5.1506309751434026E-2</v>
      </c>
      <c r="M161" s="3">
        <v>0.61</v>
      </c>
      <c r="N161" s="3">
        <v>21</v>
      </c>
      <c r="O161" s="3" t="s">
        <v>1334</v>
      </c>
      <c r="P161" s="3">
        <v>36.708799999999997</v>
      </c>
      <c r="Q161" s="3">
        <v>-6.3223000000000003</v>
      </c>
      <c r="R161" s="3">
        <v>17035</v>
      </c>
      <c r="S161" s="3">
        <v>17035</v>
      </c>
      <c r="T161" s="3">
        <v>5000</v>
      </c>
      <c r="U161" s="3">
        <f>N161</f>
        <v>21</v>
      </c>
      <c r="V161" s="3">
        <v>17035</v>
      </c>
      <c r="W161" s="3" t="s">
        <v>144</v>
      </c>
      <c r="X161" s="3" t="s">
        <v>382</v>
      </c>
      <c r="Y161" s="3">
        <v>0</v>
      </c>
      <c r="Z161" s="3">
        <v>60000</v>
      </c>
      <c r="AA161" s="3">
        <v>60000</v>
      </c>
      <c r="AB161" s="5">
        <v>1420</v>
      </c>
      <c r="AC161" s="5">
        <v>2</v>
      </c>
      <c r="AD161" s="5">
        <v>2</v>
      </c>
      <c r="AE161" s="5">
        <v>5.0000000000000001E-3</v>
      </c>
      <c r="AF161" s="5">
        <v>1.2999999999999999E-2</v>
      </c>
      <c r="AG161" s="5">
        <v>1600</v>
      </c>
      <c r="AH161" s="5">
        <v>-1.5</v>
      </c>
      <c r="AI161" s="5">
        <v>1.5</v>
      </c>
      <c r="AJ161" s="45">
        <v>0</v>
      </c>
      <c r="AK161" s="45">
        <v>0</v>
      </c>
      <c r="AL161" s="45">
        <v>0</v>
      </c>
      <c r="AM161" s="23">
        <v>0</v>
      </c>
      <c r="AN161" s="23">
        <v>0</v>
      </c>
      <c r="AO161" s="23">
        <v>0</v>
      </c>
      <c r="AP161" s="23">
        <v>0</v>
      </c>
      <c r="AQ161" s="23">
        <v>0</v>
      </c>
      <c r="AR161" s="23">
        <v>0</v>
      </c>
      <c r="AS161" s="25">
        <v>0</v>
      </c>
      <c r="AT161" s="54">
        <v>0</v>
      </c>
      <c r="AU161" s="52">
        <v>0</v>
      </c>
      <c r="AV161" s="52">
        <v>0</v>
      </c>
      <c r="AW161" s="52">
        <v>0</v>
      </c>
      <c r="AX161" s="38">
        <v>0</v>
      </c>
      <c r="AY161" s="38">
        <v>0</v>
      </c>
      <c r="AZ161" s="38">
        <v>0</v>
      </c>
      <c r="BA161" s="38">
        <v>0</v>
      </c>
      <c r="BB161" s="38">
        <v>0</v>
      </c>
      <c r="BC161" s="38">
        <v>0</v>
      </c>
      <c r="BD161" s="38">
        <v>0</v>
      </c>
      <c r="BE161" s="38">
        <v>0</v>
      </c>
      <c r="BF161" s="38">
        <v>0</v>
      </c>
      <c r="BG161" s="38">
        <v>0</v>
      </c>
      <c r="BH161" s="40">
        <v>2</v>
      </c>
      <c r="BI161" s="40" t="s">
        <v>1416</v>
      </c>
      <c r="BJ161" s="40">
        <v>0</v>
      </c>
    </row>
    <row r="162" spans="1:62" x14ac:dyDescent="0.25">
      <c r="A162" s="6">
        <v>147</v>
      </c>
      <c r="B162" s="6" t="s">
        <v>1775</v>
      </c>
      <c r="C162" s="6" t="s">
        <v>1497</v>
      </c>
      <c r="D162" s="6" t="s">
        <v>1497</v>
      </c>
      <c r="E162" s="6" t="s">
        <v>1497</v>
      </c>
      <c r="F162" s="6" t="s">
        <v>113</v>
      </c>
      <c r="G162" s="17">
        <v>44850.71875</v>
      </c>
      <c r="H162" s="21">
        <v>7</v>
      </c>
      <c r="I162" s="4">
        <f t="shared" si="7"/>
        <v>44851.010416666664</v>
      </c>
      <c r="J162" s="3">
        <v>10000</v>
      </c>
      <c r="K162" s="3">
        <v>18000</v>
      </c>
      <c r="L162" s="3">
        <f t="shared" si="6"/>
        <v>0.38718929254302098</v>
      </c>
      <c r="M162" s="3">
        <v>20</v>
      </c>
      <c r="N162" s="3">
        <v>63</v>
      </c>
      <c r="O162" s="3" t="s">
        <v>1334</v>
      </c>
      <c r="P162" s="3">
        <v>57.39425</v>
      </c>
      <c r="Q162" s="3">
        <v>86.968710000000002</v>
      </c>
      <c r="R162" s="3">
        <v>30000</v>
      </c>
      <c r="S162" s="3">
        <f>R162</f>
        <v>30000</v>
      </c>
      <c r="T162" s="3">
        <v>18000</v>
      </c>
      <c r="U162" s="3">
        <v>65</v>
      </c>
      <c r="V162" s="3">
        <f>R162</f>
        <v>30000</v>
      </c>
      <c r="W162" s="3" t="s">
        <v>144</v>
      </c>
      <c r="X162" s="3" t="s">
        <v>382</v>
      </c>
      <c r="Y162" s="3">
        <v>0</v>
      </c>
      <c r="Z162" s="3">
        <v>60000</v>
      </c>
      <c r="AA162" s="3">
        <v>60000</v>
      </c>
      <c r="AB162" s="5">
        <v>5000</v>
      </c>
      <c r="AC162" s="5">
        <v>20</v>
      </c>
      <c r="AD162" s="5">
        <v>5</v>
      </c>
      <c r="AE162" s="5">
        <v>2.5000000000000001E-2</v>
      </c>
      <c r="AF162" s="5">
        <v>5.6000000000000001E-2</v>
      </c>
      <c r="AG162" s="5">
        <v>8000</v>
      </c>
      <c r="AH162" s="5">
        <v>-1.5</v>
      </c>
      <c r="AI162" s="5">
        <v>1.5</v>
      </c>
      <c r="AJ162" s="45">
        <v>0</v>
      </c>
      <c r="AK162" s="45">
        <v>0</v>
      </c>
      <c r="AL162" s="45">
        <v>0</v>
      </c>
      <c r="AM162" s="23">
        <v>0</v>
      </c>
      <c r="AN162" s="23">
        <v>0</v>
      </c>
      <c r="AO162" s="23">
        <v>0</v>
      </c>
      <c r="AP162" s="23">
        <v>0</v>
      </c>
      <c r="AQ162" s="23">
        <v>0</v>
      </c>
      <c r="AR162" s="23">
        <v>0</v>
      </c>
      <c r="AS162" s="25">
        <v>0</v>
      </c>
      <c r="AT162" s="54">
        <v>0</v>
      </c>
      <c r="AU162" s="52">
        <v>0</v>
      </c>
      <c r="AV162" s="52">
        <v>0</v>
      </c>
      <c r="AW162" s="52">
        <v>0</v>
      </c>
      <c r="AX162" s="38">
        <v>0</v>
      </c>
      <c r="AY162" s="38">
        <v>0</v>
      </c>
      <c r="AZ162" s="38">
        <v>0</v>
      </c>
      <c r="BA162" s="38">
        <v>0</v>
      </c>
      <c r="BB162" s="38">
        <v>0</v>
      </c>
      <c r="BC162" s="38">
        <v>0</v>
      </c>
      <c r="BD162" s="38">
        <v>0</v>
      </c>
      <c r="BE162" s="38">
        <v>0</v>
      </c>
      <c r="BF162" s="38">
        <v>0</v>
      </c>
      <c r="BG162" s="38">
        <v>0</v>
      </c>
      <c r="BH162" s="40">
        <v>1</v>
      </c>
      <c r="BI162" s="40" t="s">
        <v>1499</v>
      </c>
      <c r="BJ162" s="40">
        <v>0</v>
      </c>
    </row>
    <row r="163" spans="1:62" x14ac:dyDescent="0.25">
      <c r="A163" s="6">
        <v>144</v>
      </c>
      <c r="B163" s="6" t="s">
        <v>1772</v>
      </c>
      <c r="C163" s="6" t="s">
        <v>1498</v>
      </c>
      <c r="D163" s="6" t="s">
        <v>1498</v>
      </c>
      <c r="E163" s="6" t="s">
        <v>101</v>
      </c>
      <c r="F163" s="6" t="s">
        <v>103</v>
      </c>
      <c r="G163" s="17">
        <v>44856.059421296297</v>
      </c>
      <c r="H163" s="21">
        <v>-4</v>
      </c>
      <c r="I163" s="4">
        <f t="shared" si="7"/>
        <v>44855.892754629633</v>
      </c>
      <c r="AS163" s="25">
        <v>0</v>
      </c>
      <c r="AT163" s="54">
        <v>0</v>
      </c>
      <c r="AU163" s="52">
        <v>0</v>
      </c>
      <c r="AV163" s="52">
        <v>0</v>
      </c>
      <c r="AW163" s="52">
        <v>0</v>
      </c>
    </row>
    <row r="164" spans="1:62" x14ac:dyDescent="0.25">
      <c r="A164" s="6">
        <v>148</v>
      </c>
      <c r="B164" s="6" t="s">
        <v>1776</v>
      </c>
      <c r="C164" s="6" t="s">
        <v>1502</v>
      </c>
      <c r="D164" s="6" t="s">
        <v>1501</v>
      </c>
      <c r="E164" s="6" t="s">
        <v>1370</v>
      </c>
      <c r="F164" s="6" t="s">
        <v>1371</v>
      </c>
      <c r="G164" s="17">
        <v>44857.815283090276</v>
      </c>
      <c r="H164" s="21">
        <v>0</v>
      </c>
      <c r="I164" s="4">
        <f t="shared" si="7"/>
        <v>44857.815283090276</v>
      </c>
      <c r="J164" s="3">
        <v>10</v>
      </c>
      <c r="K164" s="3">
        <v>13851.53</v>
      </c>
      <c r="L164" s="3">
        <f>J164*K164^2/2/4.184/10^12</f>
        <v>2.2928403840929732E-4</v>
      </c>
      <c r="M164" s="3">
        <v>352.5992</v>
      </c>
      <c r="N164" s="3">
        <v>51.124299999999998</v>
      </c>
      <c r="O164" s="3" t="s">
        <v>1334</v>
      </c>
      <c r="P164" s="3">
        <v>51.758006999999999</v>
      </c>
      <c r="Q164" s="3">
        <v>-1.827628</v>
      </c>
      <c r="R164" s="3">
        <v>30841</v>
      </c>
      <c r="S164" s="3">
        <v>30841</v>
      </c>
      <c r="T164" s="3">
        <v>5000</v>
      </c>
      <c r="U164" s="3">
        <f>N164</f>
        <v>51.124299999999998</v>
      </c>
      <c r="V164" s="3">
        <v>30841</v>
      </c>
      <c r="W164" s="3" t="s">
        <v>144</v>
      </c>
      <c r="X164" s="3" t="s">
        <v>382</v>
      </c>
      <c r="Y164" s="3">
        <v>0</v>
      </c>
      <c r="Z164" s="3">
        <v>60000</v>
      </c>
      <c r="AA164" s="3">
        <v>60000</v>
      </c>
      <c r="AB164" s="5">
        <v>9.41</v>
      </c>
      <c r="AC164" s="5">
        <v>6.6400000000000001E-2</v>
      </c>
      <c r="AD164" s="5">
        <v>4.3200000000000002E-2</v>
      </c>
      <c r="AE164" s="5">
        <v>1E-4</v>
      </c>
      <c r="AF164" s="5">
        <v>2.9999999999999997E-4</v>
      </c>
      <c r="AG164" s="5">
        <v>10.32</v>
      </c>
      <c r="AH164" s="5">
        <v>-1.5</v>
      </c>
      <c r="AI164" s="5">
        <v>1.5</v>
      </c>
      <c r="AJ164" s="45">
        <v>0</v>
      </c>
      <c r="AK164" s="45">
        <v>0</v>
      </c>
      <c r="AL164" s="45">
        <v>0</v>
      </c>
      <c r="AM164" s="23">
        <v>0</v>
      </c>
      <c r="AN164" s="23">
        <v>0</v>
      </c>
      <c r="AO164" s="23">
        <v>0</v>
      </c>
      <c r="AP164" s="23">
        <v>0</v>
      </c>
      <c r="AQ164" s="23">
        <v>0</v>
      </c>
      <c r="AR164" s="23">
        <v>0</v>
      </c>
      <c r="AS164" s="25">
        <v>0</v>
      </c>
      <c r="AT164" s="54">
        <v>0</v>
      </c>
      <c r="AU164" s="52">
        <v>0</v>
      </c>
      <c r="AV164" s="52">
        <v>0</v>
      </c>
      <c r="AW164" s="52">
        <v>0</v>
      </c>
      <c r="AX164" s="38">
        <v>0</v>
      </c>
      <c r="AY164" s="38">
        <v>0</v>
      </c>
      <c r="AZ164" s="38">
        <v>0</v>
      </c>
      <c r="BA164" s="38">
        <v>0</v>
      </c>
      <c r="BB164" s="38">
        <v>0</v>
      </c>
      <c r="BC164" s="38">
        <v>0</v>
      </c>
      <c r="BD164" s="38">
        <v>135</v>
      </c>
      <c r="BE164" s="38">
        <v>0</v>
      </c>
      <c r="BF164" s="38">
        <v>0</v>
      </c>
      <c r="BG164" s="38">
        <v>0</v>
      </c>
      <c r="BH164" s="40">
        <v>3</v>
      </c>
      <c r="BI164" s="40" t="s">
        <v>1416</v>
      </c>
      <c r="BJ164" s="40">
        <v>0</v>
      </c>
    </row>
    <row r="165" spans="1:62" x14ac:dyDescent="0.25">
      <c r="A165" s="6">
        <v>145</v>
      </c>
      <c r="B165" s="6" t="s">
        <v>1773</v>
      </c>
      <c r="C165" s="6" t="s">
        <v>1493</v>
      </c>
      <c r="D165" s="6" t="s">
        <v>1494</v>
      </c>
      <c r="E165" s="6" t="s">
        <v>1227</v>
      </c>
      <c r="F165" s="6" t="s">
        <v>4</v>
      </c>
      <c r="G165" s="17">
        <v>44859.078564814816</v>
      </c>
      <c r="H165" s="21">
        <v>-7</v>
      </c>
      <c r="I165" s="4">
        <f t="shared" ref="I165:I166" si="8">G165+H165/24</f>
        <v>44858.786898148152</v>
      </c>
      <c r="J165" s="3">
        <v>100</v>
      </c>
      <c r="K165" s="3">
        <v>15000</v>
      </c>
      <c r="L165" s="3">
        <f>J165*K165^2/2/4.184/10^12</f>
        <v>2.6888145315487571E-3</v>
      </c>
      <c r="M165" s="3">
        <v>291.8</v>
      </c>
      <c r="N165" s="3">
        <v>43</v>
      </c>
      <c r="O165" s="3" t="s">
        <v>1334</v>
      </c>
      <c r="P165" s="3">
        <v>35.895618499999998</v>
      </c>
      <c r="Q165" s="3">
        <v>-114.5819985</v>
      </c>
      <c r="R165" s="3">
        <v>26750</v>
      </c>
      <c r="S165" s="3">
        <v>26750</v>
      </c>
      <c r="T165" s="3">
        <v>15000</v>
      </c>
      <c r="U165" s="3">
        <f>N165</f>
        <v>43</v>
      </c>
      <c r="V165" s="3">
        <v>26750</v>
      </c>
      <c r="W165" s="3" t="s">
        <v>144</v>
      </c>
      <c r="X165" s="3" t="s">
        <v>382</v>
      </c>
      <c r="Y165" s="3">
        <v>0</v>
      </c>
      <c r="Z165" s="3">
        <v>60000</v>
      </c>
      <c r="AA165" s="3">
        <v>60000</v>
      </c>
      <c r="AB165" s="5">
        <v>1500</v>
      </c>
      <c r="AC165" s="5">
        <v>1</v>
      </c>
      <c r="AD165" s="5">
        <v>2</v>
      </c>
      <c r="AE165" s="5">
        <v>6.0000000000000001E-3</v>
      </c>
      <c r="AF165" s="5">
        <v>1.2999999999999999E-2</v>
      </c>
      <c r="AG165" s="5">
        <v>1450</v>
      </c>
      <c r="AH165" s="5">
        <v>-1.5</v>
      </c>
      <c r="AI165" s="5">
        <v>1.5</v>
      </c>
      <c r="AJ165" s="45">
        <v>0</v>
      </c>
      <c r="AK165" s="45">
        <v>0</v>
      </c>
      <c r="AL165" s="45">
        <v>0</v>
      </c>
      <c r="AM165" s="23">
        <v>0</v>
      </c>
      <c r="AN165" s="23">
        <v>0</v>
      </c>
      <c r="AO165" s="23">
        <v>0</v>
      </c>
      <c r="AP165" s="23">
        <v>0</v>
      </c>
      <c r="AQ165" s="23">
        <v>0</v>
      </c>
      <c r="AR165" s="23">
        <v>0</v>
      </c>
      <c r="AS165" s="25">
        <v>0</v>
      </c>
      <c r="AT165" s="54">
        <v>0</v>
      </c>
      <c r="AU165" s="52">
        <v>0</v>
      </c>
      <c r="AV165" s="52">
        <v>0</v>
      </c>
      <c r="AW165" s="52">
        <v>0</v>
      </c>
      <c r="AX165" s="38">
        <v>0</v>
      </c>
      <c r="AY165" s="38">
        <v>0</v>
      </c>
      <c r="AZ165" s="38">
        <v>0</v>
      </c>
      <c r="BA165" s="38">
        <v>0</v>
      </c>
      <c r="BB165" s="38">
        <v>0</v>
      </c>
      <c r="BC165" s="38">
        <v>0</v>
      </c>
      <c r="BD165" s="38">
        <v>0</v>
      </c>
      <c r="BE165" s="38">
        <v>0</v>
      </c>
      <c r="BF165" s="38">
        <v>0</v>
      </c>
      <c r="BG165" s="38">
        <v>0</v>
      </c>
      <c r="BH165" s="40">
        <v>3</v>
      </c>
      <c r="BI165" s="40" t="s">
        <v>1416</v>
      </c>
      <c r="BJ165" s="40">
        <v>0</v>
      </c>
    </row>
    <row r="166" spans="1:62" x14ac:dyDescent="0.25">
      <c r="A166" s="6">
        <v>149</v>
      </c>
      <c r="B166" s="6" t="s">
        <v>1777</v>
      </c>
      <c r="C166" s="6" t="s">
        <v>1517</v>
      </c>
      <c r="D166" s="6" t="s">
        <v>1517</v>
      </c>
      <c r="E166" s="6" t="s">
        <v>101</v>
      </c>
      <c r="F166" s="6" t="s">
        <v>103</v>
      </c>
      <c r="G166" s="17">
        <v>44884.351898148147</v>
      </c>
      <c r="H166" s="21">
        <v>-5</v>
      </c>
      <c r="I166" s="4">
        <f t="shared" si="8"/>
        <v>44884.143564814811</v>
      </c>
      <c r="J166" s="3">
        <v>50</v>
      </c>
      <c r="K166" s="3">
        <v>17000</v>
      </c>
      <c r="L166" s="3">
        <f>J166*K166^2/2/4.184/10^12</f>
        <v>1.7268164435946462E-3</v>
      </c>
      <c r="M166" s="3">
        <v>54.683</v>
      </c>
      <c r="N166" s="3">
        <v>66.39</v>
      </c>
      <c r="O166" s="3" t="s">
        <v>1334</v>
      </c>
      <c r="P166" s="3">
        <v>43.331800000000001</v>
      </c>
      <c r="Q166" s="3">
        <v>-79.242199999999997</v>
      </c>
      <c r="R166" s="3">
        <v>24730</v>
      </c>
      <c r="S166" s="3">
        <v>24730</v>
      </c>
      <c r="T166" s="3">
        <v>5000</v>
      </c>
      <c r="U166" s="3">
        <v>66.399000000000001</v>
      </c>
      <c r="V166" s="3">
        <v>20000</v>
      </c>
      <c r="W166" s="3" t="s">
        <v>144</v>
      </c>
      <c r="X166" s="3" t="s">
        <v>382</v>
      </c>
      <c r="Y166" s="3">
        <v>0</v>
      </c>
      <c r="Z166" s="3">
        <v>60000</v>
      </c>
      <c r="AA166" s="3">
        <v>60000</v>
      </c>
      <c r="AB166" s="5">
        <v>3000</v>
      </c>
      <c r="AC166" s="5">
        <v>1</v>
      </c>
      <c r="AD166" s="5">
        <v>3</v>
      </c>
      <c r="AE166" s="5">
        <v>5.0000000000000001E-3</v>
      </c>
      <c r="AF166" s="5">
        <v>5.0000000000000001E-3</v>
      </c>
      <c r="AG166" s="5">
        <v>5000</v>
      </c>
      <c r="AH166" s="5">
        <v>-1.5</v>
      </c>
      <c r="AI166" s="5">
        <v>1.5</v>
      </c>
      <c r="AJ166" s="45">
        <v>0</v>
      </c>
      <c r="AK166" s="45">
        <v>0</v>
      </c>
      <c r="AL166" s="45">
        <v>0</v>
      </c>
      <c r="AM166" s="23">
        <v>0</v>
      </c>
      <c r="AN166" s="23">
        <v>0</v>
      </c>
      <c r="AO166" s="23">
        <v>0</v>
      </c>
      <c r="AP166" s="23">
        <v>0</v>
      </c>
      <c r="AQ166" s="23">
        <v>0</v>
      </c>
      <c r="AR166" s="23">
        <v>0</v>
      </c>
      <c r="AS166" s="25">
        <v>0</v>
      </c>
      <c r="AT166" s="54">
        <v>0</v>
      </c>
      <c r="AU166" s="52">
        <v>0</v>
      </c>
      <c r="AV166" s="52">
        <v>0</v>
      </c>
      <c r="AW166" s="52">
        <v>0</v>
      </c>
      <c r="AX166" s="38">
        <v>0</v>
      </c>
      <c r="AY166" s="38">
        <v>0</v>
      </c>
      <c r="AZ166" s="38">
        <v>0</v>
      </c>
      <c r="BA166" s="38">
        <v>0</v>
      </c>
      <c r="BB166" s="38">
        <v>0</v>
      </c>
      <c r="BC166" s="38">
        <v>0</v>
      </c>
      <c r="BD166" s="38">
        <v>0</v>
      </c>
      <c r="BE166" s="38">
        <v>0</v>
      </c>
      <c r="BF166" s="38">
        <v>0</v>
      </c>
      <c r="BG166" s="38">
        <v>0</v>
      </c>
      <c r="BH166" s="40">
        <v>1</v>
      </c>
      <c r="BI166" s="40" t="s">
        <v>1416</v>
      </c>
      <c r="BJ166" s="40">
        <v>0</v>
      </c>
    </row>
    <row r="167" spans="1:62" x14ac:dyDescent="0.25">
      <c r="A167" s="6">
        <v>150</v>
      </c>
      <c r="B167" s="6" t="s">
        <v>1777</v>
      </c>
      <c r="C167" s="6" t="s">
        <v>1518</v>
      </c>
      <c r="D167" s="6" t="s">
        <v>1517</v>
      </c>
      <c r="E167" s="6" t="s">
        <v>101</v>
      </c>
      <c r="F167" s="6" t="s">
        <v>103</v>
      </c>
      <c r="G167" s="17">
        <v>44884.351898148147</v>
      </c>
      <c r="H167" s="21">
        <v>-5</v>
      </c>
      <c r="I167" s="4">
        <v>44884.143564814811</v>
      </c>
      <c r="J167" s="3">
        <v>0.1</v>
      </c>
      <c r="K167" s="3">
        <v>50</v>
      </c>
      <c r="L167" s="3">
        <v>1.7268164435946462E-3</v>
      </c>
      <c r="M167" s="3">
        <v>90</v>
      </c>
      <c r="N167" s="3">
        <v>2</v>
      </c>
      <c r="O167" s="3" t="s">
        <v>1334</v>
      </c>
      <c r="P167" s="3">
        <v>43.204490500000006</v>
      </c>
      <c r="Q167" s="3">
        <v>-79.460275999999993</v>
      </c>
      <c r="R167" s="3">
        <v>17000</v>
      </c>
      <c r="S167" s="3">
        <v>17000</v>
      </c>
      <c r="T167" s="3">
        <v>50</v>
      </c>
      <c r="U167" s="3">
        <v>2</v>
      </c>
      <c r="V167" s="3">
        <v>16000</v>
      </c>
      <c r="W167" s="3" t="s">
        <v>144</v>
      </c>
      <c r="X167" s="3" t="s">
        <v>382</v>
      </c>
      <c r="Y167" s="3">
        <v>0</v>
      </c>
      <c r="Z167" s="3">
        <v>18000</v>
      </c>
      <c r="AA167" s="3">
        <v>18000</v>
      </c>
      <c r="AB167" s="5">
        <v>30</v>
      </c>
      <c r="AC167" s="5">
        <v>10</v>
      </c>
      <c r="AD167" s="5">
        <v>2</v>
      </c>
      <c r="AE167" s="5">
        <v>1.7419499999995501E-2</v>
      </c>
      <c r="AF167" s="5">
        <v>9.7307999999998201E-2</v>
      </c>
      <c r="AG167" s="5">
        <v>1000</v>
      </c>
      <c r="AH167" s="5">
        <v>-1.5</v>
      </c>
      <c r="AI167" s="5">
        <v>1.5</v>
      </c>
      <c r="AJ167" s="45">
        <v>0</v>
      </c>
      <c r="AK167" s="45">
        <v>0</v>
      </c>
      <c r="AL167" s="45">
        <v>0</v>
      </c>
      <c r="AM167" s="23">
        <v>0</v>
      </c>
      <c r="AN167" s="23">
        <v>0</v>
      </c>
      <c r="AO167" s="23">
        <v>0</v>
      </c>
      <c r="AP167" s="23">
        <v>0</v>
      </c>
      <c r="AQ167" s="23">
        <v>0</v>
      </c>
      <c r="AR167" s="23">
        <v>0</v>
      </c>
      <c r="AS167" s="25">
        <v>0</v>
      </c>
      <c r="AT167" s="54">
        <v>0</v>
      </c>
      <c r="AU167" s="52">
        <v>0</v>
      </c>
      <c r="AV167" s="52">
        <v>0</v>
      </c>
      <c r="AW167" s="52">
        <v>0</v>
      </c>
      <c r="AX167" s="38">
        <v>0</v>
      </c>
      <c r="AY167" s="38">
        <v>0</v>
      </c>
      <c r="AZ167" s="38">
        <v>0</v>
      </c>
      <c r="BA167" s="38">
        <v>0</v>
      </c>
      <c r="BB167" s="38">
        <v>0</v>
      </c>
      <c r="BC167" s="38">
        <v>0</v>
      </c>
      <c r="BD167" s="38">
        <v>0</v>
      </c>
      <c r="BE167" s="38">
        <v>0</v>
      </c>
      <c r="BF167" s="38">
        <v>0</v>
      </c>
      <c r="BG167" s="38">
        <v>0</v>
      </c>
      <c r="BH167" s="40">
        <v>1</v>
      </c>
      <c r="BI167" s="40" t="s">
        <v>1416</v>
      </c>
      <c r="BJ167" s="40">
        <v>0</v>
      </c>
    </row>
    <row r="168" spans="1:62" x14ac:dyDescent="0.25">
      <c r="A168" s="6">
        <v>151</v>
      </c>
      <c r="B168" s="6" t="s">
        <v>1778</v>
      </c>
      <c r="C168" s="6" t="s">
        <v>1519</v>
      </c>
      <c r="D168" s="6" t="s">
        <v>1519</v>
      </c>
      <c r="E168" s="6" t="s">
        <v>1520</v>
      </c>
      <c r="F168" s="6" t="s">
        <v>63</v>
      </c>
      <c r="G168" s="17">
        <v>44924.286215277774</v>
      </c>
      <c r="H168" s="21">
        <v>8</v>
      </c>
      <c r="I168" s="4">
        <f t="shared" ref="I168:I189" si="9">G168+H168/24</f>
        <v>44924.61954861111</v>
      </c>
      <c r="J168" s="3">
        <v>6195</v>
      </c>
      <c r="K168" s="3">
        <v>16440</v>
      </c>
      <c r="L168" s="3">
        <f t="shared" ref="L168:L189" si="10">J168*K168^2/2/4.184/10^12</f>
        <v>0.20008902390057362</v>
      </c>
      <c r="M168" s="3">
        <v>63.3</v>
      </c>
      <c r="N168" s="3">
        <v>1.6</v>
      </c>
      <c r="O168" s="3" t="s">
        <v>1334</v>
      </c>
      <c r="P168" s="3">
        <v>42.3</v>
      </c>
      <c r="Q168" s="3">
        <v>92.9</v>
      </c>
      <c r="R168" s="3">
        <v>32300</v>
      </c>
      <c r="S168" s="3">
        <v>32300</v>
      </c>
      <c r="T168" s="3">
        <v>5000</v>
      </c>
      <c r="U168" s="3">
        <v>1.6</v>
      </c>
      <c r="V168" s="3">
        <v>32300</v>
      </c>
      <c r="W168" s="3" t="s">
        <v>144</v>
      </c>
      <c r="X168" s="3" t="s">
        <v>382</v>
      </c>
      <c r="Y168" s="3">
        <v>0</v>
      </c>
      <c r="Z168" s="3">
        <v>60000</v>
      </c>
      <c r="AA168" s="3">
        <v>60000</v>
      </c>
      <c r="AB168" s="5">
        <v>1000</v>
      </c>
      <c r="AC168" s="5">
        <v>2</v>
      </c>
      <c r="AD168" s="5">
        <v>1.6</v>
      </c>
      <c r="AE168" s="5">
        <v>0.05</v>
      </c>
      <c r="AF168" s="5">
        <v>0.05</v>
      </c>
      <c r="AG168" s="5">
        <v>1000</v>
      </c>
      <c r="AH168" s="5">
        <v>-1.5</v>
      </c>
      <c r="AI168" s="5">
        <v>1.5</v>
      </c>
      <c r="AJ168" s="45">
        <v>0</v>
      </c>
      <c r="AK168" s="45">
        <v>0</v>
      </c>
      <c r="AL168" s="45">
        <v>0</v>
      </c>
      <c r="AM168" s="23">
        <v>0</v>
      </c>
      <c r="AN168" s="23">
        <v>0</v>
      </c>
      <c r="AO168" s="23">
        <v>0</v>
      </c>
      <c r="AP168" s="23">
        <v>0</v>
      </c>
      <c r="AQ168" s="23">
        <v>0</v>
      </c>
      <c r="AR168" s="23">
        <v>0</v>
      </c>
      <c r="AS168" s="25">
        <v>0</v>
      </c>
      <c r="AT168" s="54">
        <v>0</v>
      </c>
      <c r="AU168" s="52">
        <v>0</v>
      </c>
      <c r="AV168" s="52">
        <v>0</v>
      </c>
      <c r="AW168" s="52">
        <v>0</v>
      </c>
      <c r="AX168" s="38">
        <v>0</v>
      </c>
      <c r="AY168" s="38">
        <v>0</v>
      </c>
      <c r="AZ168" s="38">
        <v>0</v>
      </c>
      <c r="BA168" s="38">
        <v>0</v>
      </c>
      <c r="BB168" s="38">
        <v>0</v>
      </c>
      <c r="BC168" s="38">
        <v>0</v>
      </c>
      <c r="BD168" s="38">
        <v>0</v>
      </c>
      <c r="BE168" s="38">
        <v>0</v>
      </c>
      <c r="BF168" s="38">
        <v>0</v>
      </c>
      <c r="BG168" s="38">
        <v>0</v>
      </c>
      <c r="BH168" s="40">
        <v>2</v>
      </c>
      <c r="BI168" s="40" t="s">
        <v>1416</v>
      </c>
      <c r="BJ168" s="40">
        <v>0</v>
      </c>
    </row>
    <row r="169" spans="1:62" x14ac:dyDescent="0.25">
      <c r="A169" s="6">
        <v>152</v>
      </c>
      <c r="B169" s="6" t="s">
        <v>1779</v>
      </c>
      <c r="C169" s="6" t="s">
        <v>1521</v>
      </c>
      <c r="D169" s="6" t="s">
        <v>1521</v>
      </c>
      <c r="E169" s="6" t="s">
        <v>1390</v>
      </c>
      <c r="F169" s="6" t="s">
        <v>4</v>
      </c>
      <c r="G169" s="17">
        <v>44937.032372685186</v>
      </c>
      <c r="H169" s="21">
        <v>-6</v>
      </c>
      <c r="I169" s="4">
        <f t="shared" si="9"/>
        <v>44936.782372685186</v>
      </c>
      <c r="J169" s="3">
        <v>50</v>
      </c>
      <c r="K169" s="3">
        <v>12500</v>
      </c>
      <c r="L169" s="3">
        <f t="shared" si="10"/>
        <v>9.3361615678776285E-4</v>
      </c>
      <c r="M169" s="3">
        <v>51</v>
      </c>
      <c r="N169" s="3">
        <v>39</v>
      </c>
      <c r="O169" s="3" t="s">
        <v>1334</v>
      </c>
      <c r="P169" s="3">
        <v>30.844861000000002</v>
      </c>
      <c r="Q169" s="3">
        <v>-97.877561999999998</v>
      </c>
      <c r="R169" s="3">
        <v>43000</v>
      </c>
      <c r="S169" s="3">
        <v>43000</v>
      </c>
      <c r="T169" s="3">
        <v>5000</v>
      </c>
      <c r="U169" s="3">
        <v>39</v>
      </c>
      <c r="V169" s="3">
        <v>42000</v>
      </c>
      <c r="W169" s="3" t="s">
        <v>144</v>
      </c>
      <c r="X169" s="3" t="s">
        <v>382</v>
      </c>
      <c r="Y169" s="3">
        <v>0</v>
      </c>
      <c r="Z169" s="3">
        <v>60000</v>
      </c>
      <c r="AA169" s="3">
        <v>60000</v>
      </c>
      <c r="AB169" s="5">
        <v>1500</v>
      </c>
      <c r="AC169" s="5">
        <v>6</v>
      </c>
      <c r="AD169" s="5">
        <v>3</v>
      </c>
      <c r="AE169" s="5">
        <v>7.0000000000000001E-3</v>
      </c>
      <c r="AF169" s="5">
        <v>4.4999999999999998E-2</v>
      </c>
      <c r="AG169" s="5">
        <v>2500</v>
      </c>
      <c r="AH169" s="5">
        <v>-1.5</v>
      </c>
      <c r="AI169" s="5">
        <v>1.5</v>
      </c>
      <c r="AJ169" s="45">
        <v>0</v>
      </c>
      <c r="AK169" s="45">
        <v>0</v>
      </c>
      <c r="AL169" s="45">
        <v>0</v>
      </c>
      <c r="AM169" s="23">
        <v>0</v>
      </c>
      <c r="AN169" s="23">
        <v>0</v>
      </c>
      <c r="AO169" s="23">
        <v>0</v>
      </c>
      <c r="AP169" s="23">
        <v>0</v>
      </c>
      <c r="AQ169" s="23">
        <v>0</v>
      </c>
      <c r="AR169" s="23">
        <v>0</v>
      </c>
      <c r="AS169" s="25">
        <v>0</v>
      </c>
      <c r="AT169" s="54">
        <v>0</v>
      </c>
      <c r="AU169" s="52">
        <v>0</v>
      </c>
      <c r="AV169" s="52">
        <v>0</v>
      </c>
      <c r="AW169" s="52">
        <v>0</v>
      </c>
      <c r="AX169" s="38">
        <v>0</v>
      </c>
      <c r="AY169" s="38">
        <v>0</v>
      </c>
      <c r="AZ169" s="38">
        <v>0</v>
      </c>
      <c r="BA169" s="38">
        <v>0</v>
      </c>
      <c r="BB169" s="38">
        <v>0</v>
      </c>
      <c r="BC169" s="38">
        <v>0</v>
      </c>
      <c r="BD169" s="38">
        <v>0</v>
      </c>
      <c r="BE169" s="38">
        <v>0</v>
      </c>
      <c r="BF169" s="38">
        <v>0</v>
      </c>
      <c r="BG169" s="38">
        <v>0</v>
      </c>
      <c r="BH169" s="40">
        <v>3</v>
      </c>
      <c r="BI169" s="40" t="s">
        <v>1416</v>
      </c>
      <c r="BJ169" s="40">
        <v>0</v>
      </c>
    </row>
    <row r="170" spans="1:62" x14ac:dyDescent="0.25">
      <c r="A170" s="6">
        <v>153</v>
      </c>
      <c r="B170" s="6" t="s">
        <v>1780</v>
      </c>
      <c r="C170" s="6" t="s">
        <v>1522</v>
      </c>
      <c r="D170" s="6" t="s">
        <v>1522</v>
      </c>
      <c r="E170" s="6" t="s">
        <v>1523</v>
      </c>
      <c r="F170" s="6" t="s">
        <v>4</v>
      </c>
      <c r="G170" s="17">
        <v>44946.401967592596</v>
      </c>
      <c r="H170" s="21">
        <v>-6</v>
      </c>
      <c r="I170" s="4">
        <f t="shared" si="9"/>
        <v>44946.151967592596</v>
      </c>
      <c r="J170" s="3">
        <v>75</v>
      </c>
      <c r="K170" s="3">
        <v>14000</v>
      </c>
      <c r="L170" s="3">
        <f t="shared" si="10"/>
        <v>1.7566921606118546E-3</v>
      </c>
      <c r="M170" s="3">
        <v>175</v>
      </c>
      <c r="N170" s="3">
        <v>59</v>
      </c>
      <c r="O170" s="3" t="s">
        <v>1334</v>
      </c>
      <c r="P170" s="3">
        <v>35.6509815</v>
      </c>
      <c r="Q170" s="3">
        <v>-95.404224999999997</v>
      </c>
      <c r="R170" s="3">
        <v>17789.5</v>
      </c>
      <c r="S170" s="3">
        <f>R170</f>
        <v>17789.5</v>
      </c>
      <c r="T170" s="3">
        <v>5000</v>
      </c>
      <c r="U170" s="3">
        <f t="shared" ref="U170:U178" si="11">N170</f>
        <v>59</v>
      </c>
      <c r="V170" s="3">
        <f>R170</f>
        <v>17789.5</v>
      </c>
      <c r="W170" s="3" t="s">
        <v>81</v>
      </c>
      <c r="X170" s="3" t="s">
        <v>382</v>
      </c>
      <c r="Y170" s="3">
        <v>0</v>
      </c>
      <c r="Z170" s="3">
        <v>60000</v>
      </c>
      <c r="AA170" s="3">
        <v>60000</v>
      </c>
      <c r="AB170" s="5">
        <v>1000</v>
      </c>
      <c r="AC170" s="5">
        <v>3</v>
      </c>
      <c r="AD170" s="5">
        <v>3</v>
      </c>
      <c r="AE170" s="5">
        <v>5.0000000000000001E-3</v>
      </c>
      <c r="AF170" s="5">
        <v>6.0000000000000001E-3</v>
      </c>
      <c r="AG170" s="5">
        <v>310</v>
      </c>
      <c r="AH170" s="5">
        <v>-1</v>
      </c>
      <c r="AI170" s="5">
        <v>1</v>
      </c>
      <c r="AJ170" s="45">
        <v>0</v>
      </c>
      <c r="AK170" s="45">
        <v>0</v>
      </c>
      <c r="AL170" s="45">
        <v>0</v>
      </c>
      <c r="AM170" s="23">
        <v>0</v>
      </c>
      <c r="AN170" s="23">
        <v>6</v>
      </c>
      <c r="AO170" s="23">
        <v>1.3640000000000001</v>
      </c>
      <c r="AP170" s="23">
        <v>0</v>
      </c>
      <c r="AQ170" s="23">
        <v>0</v>
      </c>
      <c r="AR170" s="23">
        <v>0</v>
      </c>
      <c r="AS170" s="25">
        <v>0</v>
      </c>
      <c r="AT170" s="54">
        <v>0</v>
      </c>
      <c r="AU170" s="52">
        <v>0</v>
      </c>
      <c r="AV170" s="52">
        <v>0</v>
      </c>
      <c r="AW170" s="52">
        <v>0</v>
      </c>
      <c r="AX170" s="38">
        <v>0</v>
      </c>
      <c r="AY170" s="38">
        <v>0</v>
      </c>
      <c r="AZ170" s="38">
        <v>0</v>
      </c>
      <c r="BA170" s="38">
        <v>0</v>
      </c>
      <c r="BB170" s="38">
        <v>0</v>
      </c>
      <c r="BC170" s="38">
        <v>0</v>
      </c>
      <c r="BD170" s="38">
        <v>0</v>
      </c>
      <c r="BE170" s="38">
        <v>0</v>
      </c>
      <c r="BF170" s="38">
        <v>0</v>
      </c>
      <c r="BG170" s="38">
        <v>0</v>
      </c>
      <c r="BH170" s="40">
        <v>4</v>
      </c>
      <c r="BI170" s="40" t="s">
        <v>1416</v>
      </c>
      <c r="BJ170" s="40">
        <v>0</v>
      </c>
    </row>
    <row r="171" spans="1:62" x14ac:dyDescent="0.25">
      <c r="A171" s="6">
        <v>154</v>
      </c>
      <c r="B171" s="6" t="s">
        <v>1781</v>
      </c>
      <c r="C171" s="6" t="s">
        <v>1524</v>
      </c>
      <c r="D171" s="6" t="s">
        <v>1524</v>
      </c>
      <c r="E171" s="6" t="s">
        <v>1525</v>
      </c>
      <c r="F171" s="6" t="s">
        <v>1093</v>
      </c>
      <c r="G171" s="17">
        <v>44951.141550925924</v>
      </c>
      <c r="H171" s="21">
        <v>1</v>
      </c>
      <c r="I171" s="4">
        <f t="shared" si="9"/>
        <v>44951.183217592588</v>
      </c>
      <c r="J171" s="3">
        <v>11</v>
      </c>
      <c r="K171" s="3">
        <v>26000</v>
      </c>
      <c r="L171" s="3">
        <f t="shared" si="10"/>
        <v>8.8862332695984695E-4</v>
      </c>
      <c r="M171" s="3">
        <v>65.3</v>
      </c>
      <c r="N171" s="3">
        <v>56.5</v>
      </c>
      <c r="O171" s="3" t="s">
        <v>1334</v>
      </c>
      <c r="P171" s="3">
        <v>48.955202999999997</v>
      </c>
      <c r="Q171" s="3">
        <v>23.286076999999999</v>
      </c>
      <c r="R171" s="3">
        <v>25700</v>
      </c>
      <c r="S171" s="3">
        <v>25700</v>
      </c>
      <c r="T171" s="3">
        <v>5000</v>
      </c>
      <c r="U171" s="3">
        <f t="shared" si="11"/>
        <v>56.5</v>
      </c>
      <c r="V171" s="3">
        <f>R171</f>
        <v>25700</v>
      </c>
      <c r="W171" s="3" t="s">
        <v>144</v>
      </c>
      <c r="X171" s="3" t="s">
        <v>382</v>
      </c>
      <c r="Y171" s="3">
        <v>0</v>
      </c>
      <c r="Z171" s="3">
        <v>60000</v>
      </c>
      <c r="AA171" s="3">
        <v>60000</v>
      </c>
      <c r="AB171" s="5">
        <v>3000</v>
      </c>
      <c r="AC171" s="5">
        <v>2</v>
      </c>
      <c r="AD171" s="5">
        <v>2</v>
      </c>
      <c r="AE171" s="5">
        <v>5.0000000000000001E-3</v>
      </c>
      <c r="AF171" s="5">
        <v>5.0000000000000001E-3</v>
      </c>
      <c r="AG171" s="5">
        <v>1000</v>
      </c>
      <c r="AH171" s="5">
        <v>-1.5</v>
      </c>
      <c r="AI171" s="5">
        <v>1.5</v>
      </c>
      <c r="AJ171" s="45">
        <v>0</v>
      </c>
      <c r="AK171" s="45">
        <v>0</v>
      </c>
      <c r="AL171" s="45">
        <v>0</v>
      </c>
      <c r="AM171" s="23">
        <v>0</v>
      </c>
      <c r="AN171" s="23">
        <v>0</v>
      </c>
      <c r="AO171" s="23">
        <v>0</v>
      </c>
      <c r="AP171" s="23">
        <v>0</v>
      </c>
      <c r="AQ171" s="23">
        <v>0</v>
      </c>
      <c r="AR171" s="23">
        <v>0</v>
      </c>
      <c r="AS171" s="25">
        <v>0</v>
      </c>
      <c r="AT171" s="54">
        <v>0</v>
      </c>
      <c r="AU171" s="52">
        <v>0</v>
      </c>
      <c r="AV171" s="52">
        <v>0</v>
      </c>
      <c r="AW171" s="52">
        <v>0</v>
      </c>
      <c r="AX171" s="38">
        <v>0</v>
      </c>
      <c r="AY171" s="38">
        <v>0</v>
      </c>
      <c r="AZ171" s="38">
        <v>0</v>
      </c>
      <c r="BA171" s="38">
        <v>0</v>
      </c>
      <c r="BB171" s="38">
        <v>0</v>
      </c>
      <c r="BC171" s="38">
        <v>0</v>
      </c>
      <c r="BD171" s="38">
        <v>136</v>
      </c>
      <c r="BE171" s="38">
        <v>0</v>
      </c>
      <c r="BF171" s="38">
        <v>0</v>
      </c>
      <c r="BG171" s="38">
        <v>0</v>
      </c>
      <c r="BH171" s="40">
        <v>3</v>
      </c>
      <c r="BI171" s="40" t="s">
        <v>1487</v>
      </c>
      <c r="BJ171" s="40">
        <v>0</v>
      </c>
    </row>
    <row r="172" spans="1:62" x14ac:dyDescent="0.25">
      <c r="A172" s="6">
        <v>159</v>
      </c>
      <c r="B172" s="6" t="s">
        <v>1784</v>
      </c>
      <c r="C172" s="6" t="s">
        <v>1540</v>
      </c>
      <c r="D172" s="6" t="s">
        <v>1540</v>
      </c>
      <c r="E172" s="6" t="s">
        <v>1541</v>
      </c>
      <c r="F172" s="6" t="s">
        <v>142</v>
      </c>
      <c r="G172" s="17">
        <v>44965.966666666667</v>
      </c>
      <c r="H172" s="21">
        <v>1</v>
      </c>
      <c r="I172" s="4">
        <f t="shared" si="9"/>
        <v>44966.008333333331</v>
      </c>
      <c r="J172" s="3">
        <v>16</v>
      </c>
      <c r="K172" s="3">
        <v>12500</v>
      </c>
      <c r="L172" s="3">
        <f t="shared" si="10"/>
        <v>2.9875717017208408E-4</v>
      </c>
      <c r="M172" s="3">
        <v>95.39</v>
      </c>
      <c r="N172" s="3">
        <v>24.6</v>
      </c>
      <c r="O172" s="3" t="s">
        <v>1334</v>
      </c>
      <c r="P172" s="3">
        <v>51.498026000000003</v>
      </c>
      <c r="Q172" s="3">
        <v>12.788249</v>
      </c>
      <c r="R172" s="3">
        <v>26000</v>
      </c>
      <c r="S172" s="3">
        <v>26000</v>
      </c>
      <c r="T172" s="3">
        <v>5000</v>
      </c>
      <c r="U172" s="3">
        <f t="shared" si="11"/>
        <v>24.6</v>
      </c>
      <c r="V172" s="3">
        <f>S172</f>
        <v>26000</v>
      </c>
      <c r="W172" s="3" t="s">
        <v>144</v>
      </c>
      <c r="X172" s="3" t="s">
        <v>382</v>
      </c>
      <c r="Y172" s="3">
        <v>0</v>
      </c>
      <c r="Z172" s="3">
        <v>60000</v>
      </c>
      <c r="AA172" s="3">
        <v>60000</v>
      </c>
      <c r="AB172" s="5">
        <v>200</v>
      </c>
      <c r="AC172" s="5">
        <v>0.46010000000000001</v>
      </c>
      <c r="AD172" s="5">
        <v>0.19919999999999999</v>
      </c>
      <c r="AE172" s="5">
        <v>1E-3</v>
      </c>
      <c r="AF172" s="5">
        <v>6.9999999999999999E-4</v>
      </c>
      <c r="AG172" s="5">
        <v>200</v>
      </c>
      <c r="AH172" s="5">
        <v>-1.5</v>
      </c>
      <c r="AI172" s="5">
        <v>1.5</v>
      </c>
      <c r="AJ172" s="45">
        <v>0</v>
      </c>
      <c r="AK172" s="45">
        <v>0</v>
      </c>
      <c r="AL172" s="45">
        <v>0</v>
      </c>
      <c r="AM172" s="23">
        <v>0</v>
      </c>
      <c r="AN172" s="23">
        <v>0</v>
      </c>
      <c r="AO172" s="23">
        <v>0</v>
      </c>
      <c r="AP172" s="23">
        <v>0</v>
      </c>
      <c r="AQ172" s="23">
        <v>0</v>
      </c>
      <c r="AR172" s="23">
        <v>0</v>
      </c>
      <c r="AS172" s="25">
        <v>0</v>
      </c>
      <c r="AT172" s="54">
        <v>0</v>
      </c>
      <c r="AU172" s="52">
        <v>0</v>
      </c>
      <c r="AV172" s="52">
        <v>0</v>
      </c>
      <c r="AW172" s="52">
        <v>0</v>
      </c>
      <c r="AX172" s="38">
        <v>0</v>
      </c>
      <c r="AY172" s="38">
        <v>0</v>
      </c>
      <c r="AZ172" s="38">
        <v>0</v>
      </c>
      <c r="BA172" s="38">
        <v>0</v>
      </c>
      <c r="BB172" s="38">
        <v>0</v>
      </c>
      <c r="BC172" s="38">
        <v>0</v>
      </c>
      <c r="BD172" s="38">
        <v>136</v>
      </c>
      <c r="BE172" s="38">
        <v>0</v>
      </c>
      <c r="BF172" s="38">
        <v>0</v>
      </c>
      <c r="BG172" s="38">
        <v>0</v>
      </c>
      <c r="BH172" s="40">
        <v>4</v>
      </c>
      <c r="BI172" s="40" t="s">
        <v>1543</v>
      </c>
      <c r="BJ172" s="40">
        <v>0</v>
      </c>
    </row>
    <row r="173" spans="1:62" x14ac:dyDescent="0.25">
      <c r="A173" s="6">
        <v>155</v>
      </c>
      <c r="B173" s="6" t="s">
        <v>1782</v>
      </c>
      <c r="C173" s="6" t="s">
        <v>1538</v>
      </c>
      <c r="D173" s="6" t="s">
        <v>1535</v>
      </c>
      <c r="E173" s="6" t="s">
        <v>1536</v>
      </c>
      <c r="F173" s="6" t="s">
        <v>631</v>
      </c>
      <c r="G173" s="17">
        <v>44970.124502314815</v>
      </c>
      <c r="H173" s="21">
        <v>1</v>
      </c>
      <c r="I173" s="4">
        <f t="shared" si="9"/>
        <v>44970.166168981479</v>
      </c>
      <c r="J173" s="3">
        <v>1727</v>
      </c>
      <c r="K173" s="3">
        <v>14060.9</v>
      </c>
      <c r="L173" s="3">
        <f t="shared" si="10"/>
        <v>4.0803451901872602E-2</v>
      </c>
      <c r="M173" s="3">
        <v>102.16289999999999</v>
      </c>
      <c r="N173" s="3">
        <f>90-48.5766</f>
        <v>41.423400000000001</v>
      </c>
      <c r="O173" s="3" t="s">
        <v>1334</v>
      </c>
      <c r="P173" s="3">
        <v>49.831260999999998</v>
      </c>
      <c r="Q173" s="3">
        <v>0.50337500000000002</v>
      </c>
      <c r="R173" s="3">
        <v>44751.68</v>
      </c>
      <c r="S173" s="3">
        <f>R173</f>
        <v>44751.68</v>
      </c>
      <c r="T173" s="3">
        <v>5000</v>
      </c>
      <c r="U173" s="3">
        <f t="shared" si="11"/>
        <v>41.423400000000001</v>
      </c>
      <c r="V173" s="3">
        <v>21327</v>
      </c>
      <c r="W173" s="3" t="s">
        <v>1433</v>
      </c>
      <c r="X173" s="3" t="s">
        <v>1545</v>
      </c>
      <c r="Y173" s="3">
        <v>3300</v>
      </c>
      <c r="Z173" s="3">
        <v>60000</v>
      </c>
      <c r="AA173" s="3">
        <v>60000</v>
      </c>
      <c r="AB173" s="5">
        <v>82.8</v>
      </c>
      <c r="AC173" s="5">
        <v>0.46010000000000001</v>
      </c>
      <c r="AD173" s="5">
        <v>0.19919999999999999</v>
      </c>
      <c r="AE173" s="5">
        <v>1E-3</v>
      </c>
      <c r="AF173" s="5">
        <v>6.9999999999999999E-4</v>
      </c>
      <c r="AG173" s="5">
        <v>45.37</v>
      </c>
      <c r="AH173" s="5">
        <v>-1.5</v>
      </c>
      <c r="AI173" s="5">
        <v>-0.5</v>
      </c>
      <c r="AJ173" s="45">
        <v>0</v>
      </c>
      <c r="AK173" s="45">
        <v>0</v>
      </c>
      <c r="AL173" s="45">
        <v>0</v>
      </c>
      <c r="AM173" s="23">
        <v>0</v>
      </c>
      <c r="AN173" s="23">
        <v>16</v>
      </c>
      <c r="AO173" s="23">
        <v>0.86099999999999999</v>
      </c>
      <c r="AP173" s="23">
        <v>0</v>
      </c>
      <c r="AQ173" s="23">
        <v>0</v>
      </c>
      <c r="AR173" s="23">
        <v>0</v>
      </c>
      <c r="AS173" s="25">
        <v>0</v>
      </c>
      <c r="AT173" s="54">
        <v>0</v>
      </c>
      <c r="AU173" s="52">
        <v>0</v>
      </c>
      <c r="AV173" s="52">
        <v>0</v>
      </c>
      <c r="AW173" s="52">
        <v>0</v>
      </c>
      <c r="AX173" s="38">
        <v>0</v>
      </c>
      <c r="AY173" s="38">
        <v>0</v>
      </c>
      <c r="AZ173" s="38">
        <v>0</v>
      </c>
      <c r="BA173" s="38">
        <v>0</v>
      </c>
      <c r="BB173" s="38">
        <v>0</v>
      </c>
      <c r="BC173" s="38">
        <v>0</v>
      </c>
      <c r="BD173" s="38">
        <v>135</v>
      </c>
      <c r="BE173" s="38">
        <v>0</v>
      </c>
      <c r="BF173" s="38">
        <v>0</v>
      </c>
      <c r="BG173" s="38">
        <v>0</v>
      </c>
      <c r="BH173" s="40">
        <v>4</v>
      </c>
      <c r="BI173" s="40" t="s">
        <v>1416</v>
      </c>
      <c r="BJ173" s="40">
        <v>0</v>
      </c>
    </row>
    <row r="174" spans="1:62" x14ac:dyDescent="0.25">
      <c r="A174" s="6">
        <v>156</v>
      </c>
      <c r="B174" s="6" t="s">
        <v>1782</v>
      </c>
      <c r="C174" s="6" t="s">
        <v>1539</v>
      </c>
      <c r="D174" s="6" t="s">
        <v>1535</v>
      </c>
      <c r="E174" s="6" t="s">
        <v>1536</v>
      </c>
      <c r="F174" s="6" t="s">
        <v>631</v>
      </c>
      <c r="G174" s="17">
        <v>44970.124502314815</v>
      </c>
      <c r="H174" s="21">
        <v>1</v>
      </c>
      <c r="I174" s="4">
        <f t="shared" si="9"/>
        <v>44970.166168981479</v>
      </c>
      <c r="J174" s="3">
        <v>1727</v>
      </c>
      <c r="K174" s="3">
        <v>14016</v>
      </c>
      <c r="L174" s="3">
        <f t="shared" si="10"/>
        <v>4.0543276543021034E-2</v>
      </c>
      <c r="M174" s="3">
        <v>102.0441</v>
      </c>
      <c r="N174" s="3">
        <v>41.272100000000002</v>
      </c>
      <c r="O174" s="3" t="s">
        <v>1334</v>
      </c>
      <c r="P174" s="3">
        <v>49.808813999999998</v>
      </c>
      <c r="Q174" s="3">
        <v>0.67460299999999995</v>
      </c>
      <c r="R174" s="3">
        <v>30000</v>
      </c>
      <c r="S174" s="3">
        <f>R174</f>
        <v>30000</v>
      </c>
      <c r="T174" s="3">
        <v>5000</v>
      </c>
      <c r="U174" s="3">
        <f t="shared" si="11"/>
        <v>41.272100000000002</v>
      </c>
      <c r="V174" s="3">
        <v>21327</v>
      </c>
      <c r="W174" s="3" t="s">
        <v>81</v>
      </c>
      <c r="X174" s="3" t="s">
        <v>382</v>
      </c>
      <c r="Y174" s="3">
        <v>0</v>
      </c>
      <c r="Z174" s="3">
        <v>60000</v>
      </c>
      <c r="AA174" s="3">
        <v>60000</v>
      </c>
      <c r="AB174" s="5">
        <v>45</v>
      </c>
      <c r="AC174" s="5">
        <v>0.46010000000000001</v>
      </c>
      <c r="AD174" s="5">
        <v>0.19919999999999999</v>
      </c>
      <c r="AE174" s="5">
        <v>1E-3</v>
      </c>
      <c r="AF174" s="5">
        <v>6.9999999999999999E-4</v>
      </c>
      <c r="AG174" s="5">
        <v>45.37</v>
      </c>
      <c r="AH174" s="5">
        <v>-1.5</v>
      </c>
      <c r="AI174" s="5">
        <v>-0.5</v>
      </c>
      <c r="AJ174" s="45">
        <v>0</v>
      </c>
      <c r="AK174" s="45">
        <v>0</v>
      </c>
      <c r="AL174" s="45">
        <v>0</v>
      </c>
      <c r="AM174" s="23">
        <v>0</v>
      </c>
      <c r="AN174" s="23">
        <v>0</v>
      </c>
      <c r="AO174" s="23">
        <v>0</v>
      </c>
      <c r="AP174" s="23">
        <v>0</v>
      </c>
      <c r="AQ174" s="23">
        <v>0</v>
      </c>
      <c r="AR174" s="23">
        <v>0</v>
      </c>
      <c r="AS174" s="25">
        <v>0</v>
      </c>
      <c r="AT174" s="54">
        <v>0</v>
      </c>
      <c r="AU174" s="52">
        <v>0</v>
      </c>
      <c r="AV174" s="52">
        <v>0</v>
      </c>
      <c r="AW174" s="52">
        <v>0</v>
      </c>
      <c r="AX174" s="38">
        <v>0</v>
      </c>
      <c r="AY174" s="38">
        <v>0</v>
      </c>
      <c r="AZ174" s="38">
        <v>0</v>
      </c>
      <c r="BA174" s="38">
        <v>0</v>
      </c>
      <c r="BB174" s="38">
        <v>0</v>
      </c>
      <c r="BC174" s="38">
        <v>0</v>
      </c>
      <c r="BD174" s="38">
        <v>0</v>
      </c>
      <c r="BE174" s="38">
        <v>0</v>
      </c>
      <c r="BF174" s="38">
        <v>0</v>
      </c>
      <c r="BG174" s="38">
        <v>0</v>
      </c>
      <c r="BH174" s="40">
        <v>4</v>
      </c>
      <c r="BI174" s="40" t="s">
        <v>1416</v>
      </c>
      <c r="BJ174" s="40">
        <v>0</v>
      </c>
    </row>
    <row r="175" spans="1:62" x14ac:dyDescent="0.25">
      <c r="A175" s="6">
        <v>157</v>
      </c>
      <c r="B175" s="6" t="s">
        <v>1783</v>
      </c>
      <c r="C175" s="6" t="s">
        <v>1537</v>
      </c>
      <c r="D175" s="6" t="s">
        <v>1537</v>
      </c>
      <c r="E175" s="6" t="s">
        <v>1390</v>
      </c>
      <c r="F175" s="6" t="s">
        <v>4</v>
      </c>
      <c r="G175" s="17">
        <v>44972.973611111112</v>
      </c>
      <c r="H175" s="21">
        <v>-6</v>
      </c>
      <c r="I175" s="4">
        <f t="shared" si="9"/>
        <v>44972.723611111112</v>
      </c>
      <c r="J175" s="3">
        <v>453</v>
      </c>
      <c r="K175" s="3">
        <v>15000</v>
      </c>
      <c r="L175" s="3">
        <f t="shared" si="10"/>
        <v>1.2180329827915868E-2</v>
      </c>
      <c r="M175" s="3">
        <v>327.2</v>
      </c>
      <c r="N175" s="3">
        <v>53.6</v>
      </c>
      <c r="O175" s="3" t="s">
        <v>1334</v>
      </c>
      <c r="P175" s="3">
        <v>26.578866000000001</v>
      </c>
      <c r="Q175" s="3">
        <v>-98.846598</v>
      </c>
      <c r="R175" s="3">
        <v>25000</v>
      </c>
      <c r="S175" s="3">
        <v>25000</v>
      </c>
      <c r="T175" s="3">
        <v>5000</v>
      </c>
      <c r="U175" s="3">
        <f t="shared" si="11"/>
        <v>53.6</v>
      </c>
      <c r="V175" s="3">
        <v>25000</v>
      </c>
      <c r="W175" s="3" t="s">
        <v>144</v>
      </c>
      <c r="X175" s="3" t="s">
        <v>382</v>
      </c>
      <c r="Y175" s="3">
        <v>0</v>
      </c>
      <c r="Z175" s="3">
        <v>60000</v>
      </c>
      <c r="AA175" s="3">
        <v>60000</v>
      </c>
      <c r="AB175" s="5">
        <v>3000</v>
      </c>
      <c r="AC175" s="5">
        <v>5</v>
      </c>
      <c r="AD175" s="5">
        <v>5</v>
      </c>
      <c r="AE175" s="5">
        <v>0.01</v>
      </c>
      <c r="AF175" s="5">
        <v>0.01</v>
      </c>
      <c r="AG175" s="5">
        <v>3000</v>
      </c>
      <c r="AH175" s="5">
        <v>-1.5</v>
      </c>
      <c r="AI175" s="5">
        <v>1.5</v>
      </c>
      <c r="AJ175" s="45">
        <v>0</v>
      </c>
      <c r="AK175" s="45">
        <v>0</v>
      </c>
      <c r="AL175" s="45">
        <v>0</v>
      </c>
      <c r="AM175" s="23">
        <v>0</v>
      </c>
      <c r="AN175" s="23">
        <v>10</v>
      </c>
      <c r="AO175" s="23">
        <v>2</v>
      </c>
      <c r="AP175" s="23">
        <v>0</v>
      </c>
      <c r="AQ175" s="23">
        <v>0</v>
      </c>
      <c r="AR175" s="23">
        <v>0</v>
      </c>
      <c r="AS175" s="25">
        <v>0</v>
      </c>
      <c r="AT175" s="54">
        <v>0</v>
      </c>
      <c r="AU175" s="52">
        <v>0</v>
      </c>
      <c r="AV175" s="52">
        <v>0</v>
      </c>
      <c r="AW175" s="52">
        <v>0</v>
      </c>
      <c r="AX175" s="38">
        <v>0</v>
      </c>
      <c r="AY175" s="38">
        <v>0</v>
      </c>
      <c r="AZ175" s="38">
        <v>0</v>
      </c>
      <c r="BA175" s="38">
        <v>0</v>
      </c>
      <c r="BB175" s="38">
        <v>0</v>
      </c>
      <c r="BC175" s="38">
        <v>0</v>
      </c>
      <c r="BD175" s="38">
        <v>2</v>
      </c>
      <c r="BE175" s="38">
        <v>0</v>
      </c>
      <c r="BF175" s="38">
        <v>0</v>
      </c>
      <c r="BG175" s="38">
        <v>0</v>
      </c>
      <c r="BH175" s="40">
        <v>1</v>
      </c>
      <c r="BI175" s="40" t="s">
        <v>1416</v>
      </c>
      <c r="BJ175" s="40">
        <v>0</v>
      </c>
    </row>
    <row r="176" spans="1:62" x14ac:dyDescent="0.25">
      <c r="A176" s="6">
        <v>160</v>
      </c>
      <c r="B176" s="6" t="s">
        <v>1785</v>
      </c>
      <c r="C176" s="6" t="s">
        <v>1544</v>
      </c>
      <c r="D176" s="6" t="s">
        <v>1544</v>
      </c>
      <c r="E176" s="6" t="s">
        <v>5</v>
      </c>
      <c r="F176" s="6" t="s">
        <v>4</v>
      </c>
      <c r="G176" s="17">
        <v>44977.076851851853</v>
      </c>
      <c r="H176" s="21">
        <v>-5</v>
      </c>
      <c r="I176" s="4">
        <f t="shared" si="9"/>
        <v>44976.868518518517</v>
      </c>
      <c r="J176" s="3">
        <v>25</v>
      </c>
      <c r="K176" s="3">
        <v>25000</v>
      </c>
      <c r="L176" s="3">
        <f t="shared" si="10"/>
        <v>1.8672323135755257E-3</v>
      </c>
      <c r="M176" s="3">
        <v>286.34449999999998</v>
      </c>
      <c r="N176" s="3">
        <f>90-26.2985</f>
        <v>63.701499999999996</v>
      </c>
      <c r="O176" s="3" t="s">
        <v>1334</v>
      </c>
      <c r="P176" s="3">
        <v>43.427529</v>
      </c>
      <c r="Q176" s="3">
        <v>-85.524208000000002</v>
      </c>
      <c r="R176" s="3">
        <v>37595</v>
      </c>
      <c r="S176" s="3">
        <f>R176</f>
        <v>37595</v>
      </c>
      <c r="T176" s="3">
        <v>5000</v>
      </c>
      <c r="U176" s="3">
        <f t="shared" si="11"/>
        <v>63.701499999999996</v>
      </c>
      <c r="V176" s="3">
        <v>37595</v>
      </c>
      <c r="W176" s="3" t="s">
        <v>144</v>
      </c>
      <c r="X176" s="3" t="s">
        <v>382</v>
      </c>
      <c r="Y176" s="3">
        <v>0</v>
      </c>
      <c r="Z176" s="3">
        <v>60000</v>
      </c>
      <c r="AA176" s="3">
        <v>60000</v>
      </c>
      <c r="AB176" s="5">
        <v>1000</v>
      </c>
      <c r="AC176" s="5">
        <v>0.24049999999999999</v>
      </c>
      <c r="AD176" s="5">
        <v>0.87580000000000002</v>
      </c>
      <c r="AE176" s="5">
        <v>1E-3</v>
      </c>
      <c r="AF176" s="5">
        <v>1E-3</v>
      </c>
      <c r="AG176" s="5">
        <v>500</v>
      </c>
      <c r="AH176" s="5">
        <v>-1.5</v>
      </c>
      <c r="AI176" s="5">
        <v>1.5</v>
      </c>
      <c r="AJ176" s="45">
        <v>0</v>
      </c>
      <c r="AK176" s="45">
        <v>0</v>
      </c>
      <c r="AL176" s="45">
        <v>0</v>
      </c>
      <c r="AM176" s="23">
        <v>0</v>
      </c>
      <c r="AN176" s="23">
        <v>0</v>
      </c>
      <c r="AO176" s="23">
        <v>0</v>
      </c>
      <c r="AP176" s="23">
        <v>0</v>
      </c>
      <c r="AQ176" s="23">
        <v>0</v>
      </c>
      <c r="AR176" s="23">
        <v>0</v>
      </c>
      <c r="AS176" s="25">
        <v>0</v>
      </c>
      <c r="AT176" s="54">
        <v>0</v>
      </c>
      <c r="AU176" s="52">
        <v>0</v>
      </c>
      <c r="AV176" s="52">
        <v>0</v>
      </c>
      <c r="AW176" s="52">
        <v>0</v>
      </c>
      <c r="AX176" s="38">
        <v>0</v>
      </c>
      <c r="AY176" s="38">
        <v>0</v>
      </c>
      <c r="AZ176" s="38">
        <v>0</v>
      </c>
      <c r="BA176" s="38">
        <v>0</v>
      </c>
      <c r="BB176" s="38">
        <v>0</v>
      </c>
      <c r="BC176" s="38">
        <v>0</v>
      </c>
      <c r="BD176" s="38">
        <v>138</v>
      </c>
      <c r="BE176" s="38">
        <v>0</v>
      </c>
      <c r="BF176" s="38">
        <v>0</v>
      </c>
      <c r="BG176" s="38">
        <v>0</v>
      </c>
      <c r="BH176" s="40">
        <v>0</v>
      </c>
      <c r="BI176" s="40" t="s">
        <v>1416</v>
      </c>
      <c r="BJ176" s="40">
        <v>0</v>
      </c>
    </row>
    <row r="177" spans="1:62" x14ac:dyDescent="0.25">
      <c r="A177" s="6">
        <v>177</v>
      </c>
      <c r="B177" s="6" t="s">
        <v>1802</v>
      </c>
      <c r="C177" s="6" t="s">
        <v>1603</v>
      </c>
      <c r="D177" s="6" t="s">
        <v>1603</v>
      </c>
      <c r="E177" s="6" t="s">
        <v>1603</v>
      </c>
      <c r="F177" s="6" t="s">
        <v>1025</v>
      </c>
      <c r="G177" s="17">
        <v>45018.811666666668</v>
      </c>
      <c r="H177" s="21">
        <v>2</v>
      </c>
      <c r="I177" s="4">
        <f t="shared" si="9"/>
        <v>45018.895000000004</v>
      </c>
      <c r="J177" s="3">
        <v>50</v>
      </c>
      <c r="K177" s="3">
        <v>13610</v>
      </c>
      <c r="L177" s="3">
        <f t="shared" si="10"/>
        <v>1.10678836042065E-3</v>
      </c>
      <c r="M177" s="3">
        <v>208.24</v>
      </c>
      <c r="N177" s="3">
        <v>37.25</v>
      </c>
      <c r="O177" s="3" t="s">
        <v>1334</v>
      </c>
      <c r="P177" s="3">
        <v>39.803229999999999</v>
      </c>
      <c r="Q177" s="3">
        <v>-4.05924</v>
      </c>
      <c r="R177" s="3">
        <v>24000</v>
      </c>
      <c r="S177" s="3">
        <v>24000</v>
      </c>
      <c r="T177" s="3">
        <v>5000</v>
      </c>
      <c r="U177" s="3">
        <f t="shared" si="11"/>
        <v>37.25</v>
      </c>
      <c r="V177" s="3">
        <v>24000</v>
      </c>
      <c r="W177" s="3" t="s">
        <v>144</v>
      </c>
      <c r="X177" s="3" t="s">
        <v>382</v>
      </c>
      <c r="Y177" s="3">
        <v>0</v>
      </c>
      <c r="Z177" s="3">
        <v>60000</v>
      </c>
      <c r="AA177" s="3">
        <v>60000</v>
      </c>
      <c r="AB177" s="5">
        <v>500</v>
      </c>
      <c r="AC177" s="5">
        <v>0.5</v>
      </c>
      <c r="AD177" s="5">
        <v>0.5</v>
      </c>
      <c r="AE177" s="5">
        <v>0.02</v>
      </c>
      <c r="AF177" s="5">
        <v>0.02</v>
      </c>
      <c r="AG177" s="5">
        <v>500</v>
      </c>
      <c r="AH177" s="5">
        <v>-1.5</v>
      </c>
      <c r="AI177" s="5">
        <v>1.5</v>
      </c>
      <c r="AJ177" s="45">
        <v>0</v>
      </c>
      <c r="AK177" s="45">
        <v>0</v>
      </c>
      <c r="AL177" s="45">
        <v>0</v>
      </c>
      <c r="AM177" s="23">
        <v>0</v>
      </c>
      <c r="AN177" s="23">
        <v>0</v>
      </c>
      <c r="AO177" s="23">
        <v>0</v>
      </c>
      <c r="AP177" s="23">
        <v>0</v>
      </c>
      <c r="AQ177" s="23">
        <v>0</v>
      </c>
      <c r="AR177" s="23">
        <v>0</v>
      </c>
      <c r="AS177" s="25">
        <v>0</v>
      </c>
      <c r="AT177" s="54">
        <v>0</v>
      </c>
      <c r="AU177" s="52">
        <v>0</v>
      </c>
      <c r="AV177" s="52">
        <v>0</v>
      </c>
      <c r="AW177" s="52">
        <v>0</v>
      </c>
      <c r="AX177" s="38">
        <v>0</v>
      </c>
      <c r="AY177" s="38">
        <v>140</v>
      </c>
      <c r="AZ177" s="38">
        <v>0</v>
      </c>
      <c r="BA177" s="38">
        <v>0</v>
      </c>
      <c r="BB177" s="38">
        <v>0</v>
      </c>
      <c r="BC177" s="38">
        <v>0</v>
      </c>
      <c r="BD177" s="38">
        <v>140</v>
      </c>
      <c r="BE177" s="38">
        <v>0</v>
      </c>
      <c r="BF177" s="38">
        <v>0</v>
      </c>
      <c r="BG177" s="38">
        <v>0</v>
      </c>
      <c r="BH177" s="40">
        <v>2</v>
      </c>
      <c r="BI177" s="40" t="s">
        <v>1605</v>
      </c>
      <c r="BJ177" s="40">
        <v>1</v>
      </c>
    </row>
    <row r="178" spans="1:62" x14ac:dyDescent="0.25">
      <c r="A178" s="6">
        <v>178</v>
      </c>
      <c r="B178" s="6" t="s">
        <v>1803</v>
      </c>
      <c r="C178" s="6" t="s">
        <v>1606</v>
      </c>
      <c r="D178" s="6" t="s">
        <v>1606</v>
      </c>
      <c r="E178" s="6" t="s">
        <v>1607</v>
      </c>
      <c r="F178" s="6" t="s">
        <v>4</v>
      </c>
      <c r="G178" s="17">
        <v>45024.661458333336</v>
      </c>
      <c r="H178" s="21">
        <v>-4</v>
      </c>
      <c r="I178" s="4">
        <f t="shared" si="9"/>
        <v>45024.494791666672</v>
      </c>
      <c r="J178" s="3">
        <v>400</v>
      </c>
      <c r="K178" s="3">
        <v>17000</v>
      </c>
      <c r="L178" s="3">
        <f t="shared" si="10"/>
        <v>1.381453154875717E-2</v>
      </c>
      <c r="M178" s="3">
        <v>196</v>
      </c>
      <c r="N178" s="3">
        <v>45</v>
      </c>
      <c r="O178" s="3" t="s">
        <v>1334</v>
      </c>
      <c r="P178" s="3">
        <v>45.390799999999999</v>
      </c>
      <c r="Q178" s="3">
        <v>-67.544799999999995</v>
      </c>
      <c r="R178" s="3">
        <v>16000</v>
      </c>
      <c r="S178" s="3">
        <v>16000</v>
      </c>
      <c r="T178" s="3">
        <v>5000</v>
      </c>
      <c r="U178" s="3">
        <f t="shared" si="11"/>
        <v>45</v>
      </c>
      <c r="V178" s="3">
        <v>12000</v>
      </c>
      <c r="W178" s="3" t="s">
        <v>144</v>
      </c>
      <c r="X178" s="3" t="s">
        <v>382</v>
      </c>
      <c r="Y178" s="3">
        <v>0</v>
      </c>
      <c r="Z178" s="3">
        <v>60000</v>
      </c>
      <c r="AA178" s="3">
        <v>60000</v>
      </c>
      <c r="AB178" s="5">
        <v>5000</v>
      </c>
      <c r="AC178" s="5">
        <v>10</v>
      </c>
      <c r="AD178" s="5">
        <v>10</v>
      </c>
      <c r="AE178" s="5">
        <v>0.01</v>
      </c>
      <c r="AF178" s="5">
        <v>0.03</v>
      </c>
      <c r="AG178" s="5">
        <v>4000</v>
      </c>
      <c r="AH178" s="5">
        <v>-1.5</v>
      </c>
      <c r="AI178" s="5">
        <v>1.5</v>
      </c>
      <c r="AJ178" s="45">
        <v>0</v>
      </c>
      <c r="AK178" s="45">
        <v>0</v>
      </c>
      <c r="AL178" s="45">
        <v>0</v>
      </c>
      <c r="AM178" s="23">
        <v>0</v>
      </c>
      <c r="AN178" s="23">
        <v>0</v>
      </c>
      <c r="AO178" s="23">
        <v>0</v>
      </c>
      <c r="AP178" s="23">
        <v>0</v>
      </c>
      <c r="AQ178" s="23">
        <v>0</v>
      </c>
      <c r="AR178" s="23">
        <v>0</v>
      </c>
      <c r="AS178" s="25">
        <v>0</v>
      </c>
      <c r="AT178" s="54">
        <v>0</v>
      </c>
      <c r="AU178" s="52">
        <v>0</v>
      </c>
      <c r="AV178" s="52">
        <v>0</v>
      </c>
      <c r="AW178" s="52">
        <v>0</v>
      </c>
      <c r="AX178" s="38">
        <v>0</v>
      </c>
      <c r="AY178" s="38">
        <v>0</v>
      </c>
      <c r="AZ178" s="38">
        <v>0</v>
      </c>
      <c r="BA178" s="38">
        <v>0</v>
      </c>
      <c r="BB178" s="38">
        <v>0</v>
      </c>
      <c r="BC178" s="38">
        <v>0</v>
      </c>
      <c r="BD178" s="38">
        <v>0</v>
      </c>
      <c r="BE178" s="38">
        <v>0</v>
      </c>
      <c r="BF178" s="38">
        <v>0</v>
      </c>
      <c r="BG178" s="38">
        <v>0</v>
      </c>
      <c r="BH178" s="40">
        <v>1</v>
      </c>
      <c r="BI178" s="40" t="s">
        <v>1416</v>
      </c>
      <c r="BJ178" s="40">
        <v>0</v>
      </c>
    </row>
    <row r="179" spans="1:62" x14ac:dyDescent="0.25">
      <c r="A179" s="6">
        <v>176</v>
      </c>
      <c r="B179" s="6" t="s">
        <v>1801</v>
      </c>
      <c r="C179" s="6" t="s">
        <v>853</v>
      </c>
      <c r="D179" s="6" t="s">
        <v>1601</v>
      </c>
      <c r="E179" s="6" t="s">
        <v>1602</v>
      </c>
      <c r="F179" s="6" t="s">
        <v>853</v>
      </c>
      <c r="G179" s="17">
        <v>45031.348622685182</v>
      </c>
      <c r="H179" s="21">
        <v>2</v>
      </c>
      <c r="I179" s="4">
        <f t="shared" si="9"/>
        <v>45031.431956018518</v>
      </c>
      <c r="J179" s="3">
        <v>178054</v>
      </c>
      <c r="K179" s="3">
        <v>17210</v>
      </c>
      <c r="L179" s="3">
        <f t="shared" si="10"/>
        <v>6.3021945197657745</v>
      </c>
      <c r="M179" s="3">
        <v>294.10000000000002</v>
      </c>
      <c r="N179" s="3">
        <v>54.8</v>
      </c>
      <c r="P179" s="3">
        <v>-20.100000000000001</v>
      </c>
      <c r="Q179" s="3">
        <v>36</v>
      </c>
      <c r="R179" s="3">
        <v>41400</v>
      </c>
      <c r="S179" s="3">
        <v>41400</v>
      </c>
      <c r="T179" s="3">
        <v>5000</v>
      </c>
      <c r="U179" s="3">
        <v>54.8</v>
      </c>
      <c r="V179" s="3">
        <v>0</v>
      </c>
      <c r="W179" s="3" t="s">
        <v>144</v>
      </c>
      <c r="X179" s="3" t="s">
        <v>382</v>
      </c>
      <c r="Y179" s="3">
        <v>0</v>
      </c>
      <c r="Z179" s="3">
        <v>60000</v>
      </c>
      <c r="AA179" s="3">
        <v>60000</v>
      </c>
      <c r="AB179" s="5">
        <v>500</v>
      </c>
      <c r="AC179" s="5">
        <v>0.5</v>
      </c>
      <c r="AD179" s="5">
        <v>0.5</v>
      </c>
      <c r="AE179" s="5">
        <v>0.05</v>
      </c>
      <c r="AF179" s="5">
        <v>0.05</v>
      </c>
      <c r="AG179" s="5">
        <v>500</v>
      </c>
      <c r="AH179" s="5">
        <v>-1.5</v>
      </c>
      <c r="AI179" s="5">
        <v>1.5</v>
      </c>
      <c r="AJ179" s="45">
        <v>0</v>
      </c>
      <c r="AK179" s="45">
        <v>0</v>
      </c>
      <c r="AL179" s="45">
        <v>0</v>
      </c>
      <c r="AM179" s="23">
        <v>0</v>
      </c>
      <c r="AN179" s="23">
        <v>0</v>
      </c>
      <c r="AO179" s="23">
        <v>0</v>
      </c>
      <c r="AP179" s="23">
        <v>0</v>
      </c>
      <c r="AQ179" s="23">
        <v>0</v>
      </c>
      <c r="AR179" s="23">
        <v>0</v>
      </c>
      <c r="AS179" s="25">
        <v>0</v>
      </c>
      <c r="AT179" s="54">
        <v>0</v>
      </c>
      <c r="AU179" s="52">
        <v>0</v>
      </c>
      <c r="AV179" s="52">
        <v>0</v>
      </c>
      <c r="AW179" s="52">
        <v>0</v>
      </c>
      <c r="AX179" s="38">
        <v>0</v>
      </c>
      <c r="AY179" s="38">
        <v>4</v>
      </c>
      <c r="AZ179" s="38">
        <v>0</v>
      </c>
      <c r="BA179" s="38">
        <v>0</v>
      </c>
      <c r="BB179" s="38">
        <v>0</v>
      </c>
      <c r="BC179" s="38">
        <v>0</v>
      </c>
      <c r="BD179" s="38">
        <v>4</v>
      </c>
      <c r="BE179" s="38">
        <v>0</v>
      </c>
      <c r="BF179" s="38">
        <v>0</v>
      </c>
      <c r="BG179" s="38">
        <v>0</v>
      </c>
      <c r="BH179" s="40">
        <v>2</v>
      </c>
      <c r="BI179" s="40" t="s">
        <v>1416</v>
      </c>
      <c r="BJ179" s="40">
        <v>0</v>
      </c>
    </row>
    <row r="180" spans="1:62" x14ac:dyDescent="0.25">
      <c r="A180" s="6">
        <v>179</v>
      </c>
      <c r="B180" s="6" t="s">
        <v>1804</v>
      </c>
      <c r="C180" s="6" t="s">
        <v>1608</v>
      </c>
      <c r="D180" s="6" t="s">
        <v>1608</v>
      </c>
      <c r="E180" s="6" t="s">
        <v>1609</v>
      </c>
      <c r="F180" s="6" t="s">
        <v>142</v>
      </c>
      <c r="G180" s="17">
        <v>45041.510416666664</v>
      </c>
      <c r="H180" s="21">
        <v>2</v>
      </c>
      <c r="I180" s="4">
        <f t="shared" si="9"/>
        <v>45041.59375</v>
      </c>
      <c r="J180" s="3">
        <v>500</v>
      </c>
      <c r="K180" s="3">
        <v>20500</v>
      </c>
      <c r="L180" s="3">
        <f t="shared" si="10"/>
        <v>2.511054015296367E-2</v>
      </c>
      <c r="M180" s="3">
        <v>153</v>
      </c>
      <c r="N180" s="3">
        <v>5</v>
      </c>
      <c r="O180" s="3" t="s">
        <v>1334</v>
      </c>
      <c r="P180" s="3">
        <v>53.772651000000003</v>
      </c>
      <c r="Q180" s="3">
        <v>9.6109229999999997</v>
      </c>
      <c r="R180" s="3">
        <v>18000</v>
      </c>
      <c r="S180" s="3">
        <v>18000</v>
      </c>
      <c r="T180" s="3">
        <v>5000</v>
      </c>
      <c r="U180" s="3">
        <v>5</v>
      </c>
      <c r="V180" s="3">
        <v>12000</v>
      </c>
      <c r="W180" s="3" t="s">
        <v>81</v>
      </c>
      <c r="X180" s="3" t="s">
        <v>382</v>
      </c>
      <c r="Y180" s="3">
        <v>3500</v>
      </c>
      <c r="Z180" s="3">
        <v>60000</v>
      </c>
      <c r="AA180" s="3">
        <v>60000</v>
      </c>
      <c r="AB180" s="5">
        <v>3000</v>
      </c>
      <c r="AC180" s="5">
        <v>2</v>
      </c>
      <c r="AD180" s="5">
        <v>2</v>
      </c>
      <c r="AE180" s="5">
        <v>8.9999999999999993E-3</v>
      </c>
      <c r="AF180" s="5">
        <v>1.4999999999999999E-2</v>
      </c>
      <c r="AG180" s="5">
        <v>0</v>
      </c>
      <c r="AH180" s="5">
        <v>-1</v>
      </c>
      <c r="AI180" s="5">
        <v>1</v>
      </c>
      <c r="AJ180" s="45">
        <v>0</v>
      </c>
      <c r="AK180" s="45">
        <v>0</v>
      </c>
      <c r="AL180" s="45">
        <v>0</v>
      </c>
      <c r="AM180" s="23">
        <v>0</v>
      </c>
      <c r="AN180" s="23">
        <v>13</v>
      </c>
      <c r="AO180" s="23">
        <v>6</v>
      </c>
      <c r="AP180" s="23">
        <v>3600</v>
      </c>
      <c r="AQ180" s="23">
        <v>0</v>
      </c>
      <c r="AR180" s="23">
        <v>0</v>
      </c>
      <c r="AS180" s="25">
        <v>0</v>
      </c>
      <c r="AT180" s="54">
        <v>0</v>
      </c>
      <c r="AU180" s="52">
        <v>0</v>
      </c>
      <c r="AV180" s="52">
        <v>0</v>
      </c>
      <c r="AW180" s="52">
        <v>0</v>
      </c>
      <c r="AX180" s="38">
        <v>0</v>
      </c>
      <c r="AY180" s="38">
        <v>0</v>
      </c>
      <c r="AZ180" s="38">
        <v>0</v>
      </c>
      <c r="BA180" s="38">
        <v>0</v>
      </c>
      <c r="BB180" s="38">
        <v>0</v>
      </c>
      <c r="BC180" s="38">
        <v>0</v>
      </c>
      <c r="BD180" s="38">
        <v>0</v>
      </c>
      <c r="BE180" s="38">
        <v>0</v>
      </c>
      <c r="BF180" s="38">
        <v>0</v>
      </c>
      <c r="BG180" s="38">
        <v>0</v>
      </c>
      <c r="BH180" s="40">
        <v>4</v>
      </c>
      <c r="BI180" s="40" t="s">
        <v>1610</v>
      </c>
      <c r="BJ180" s="40">
        <v>0</v>
      </c>
    </row>
    <row r="181" spans="1:62" x14ac:dyDescent="0.25">
      <c r="A181" s="6">
        <v>180</v>
      </c>
      <c r="B181" s="6" t="s">
        <v>1805</v>
      </c>
      <c r="C181" s="6" t="s">
        <v>1613</v>
      </c>
      <c r="D181" s="6" t="s">
        <v>1613</v>
      </c>
      <c r="E181" s="6" t="s">
        <v>1611</v>
      </c>
      <c r="F181" s="6" t="s">
        <v>394</v>
      </c>
      <c r="G181" s="17">
        <v>45043.070017939812</v>
      </c>
      <c r="H181" s="21">
        <v>2</v>
      </c>
      <c r="I181" s="4">
        <f t="shared" si="9"/>
        <v>45043.153351273148</v>
      </c>
      <c r="J181" s="3">
        <v>50</v>
      </c>
      <c r="K181" s="3">
        <v>14321</v>
      </c>
      <c r="L181" s="3">
        <f t="shared" si="10"/>
        <v>1.2254483807361376E-3</v>
      </c>
      <c r="M181" s="3">
        <v>126.85</v>
      </c>
      <c r="N181" s="3">
        <v>24.757999999999999</v>
      </c>
      <c r="O181" s="3" t="s">
        <v>1334</v>
      </c>
      <c r="P181" s="3">
        <v>52.758159999999997</v>
      </c>
      <c r="Q181" s="3">
        <v>22.029309999999999</v>
      </c>
      <c r="R181" s="3">
        <v>28151</v>
      </c>
      <c r="S181" s="3">
        <f>R181</f>
        <v>28151</v>
      </c>
      <c r="T181" s="3">
        <v>5000</v>
      </c>
      <c r="U181" s="3">
        <f>N181</f>
        <v>24.757999999999999</v>
      </c>
      <c r="V181" s="3">
        <f>R181</f>
        <v>28151</v>
      </c>
      <c r="W181" s="3" t="s">
        <v>144</v>
      </c>
      <c r="X181" s="3" t="s">
        <v>382</v>
      </c>
      <c r="Y181" s="3">
        <v>0</v>
      </c>
      <c r="Z181" s="3">
        <v>60000</v>
      </c>
      <c r="AA181" s="3">
        <v>60000</v>
      </c>
      <c r="AB181" s="5">
        <v>3948</v>
      </c>
      <c r="AC181" s="5">
        <v>4.8099999999999996</v>
      </c>
      <c r="AD181" s="5">
        <v>3.48</v>
      </c>
      <c r="AE181" s="5">
        <v>3.0300000000000001E-3</v>
      </c>
      <c r="AF181" s="5">
        <v>1.5800000000000002E-2</v>
      </c>
      <c r="AG181" s="5">
        <v>919</v>
      </c>
      <c r="AH181" s="5">
        <v>-1</v>
      </c>
      <c r="AI181" s="5">
        <v>1</v>
      </c>
      <c r="AJ181" s="45">
        <v>0</v>
      </c>
      <c r="AK181" s="45">
        <v>0</v>
      </c>
      <c r="AL181" s="45">
        <v>0</v>
      </c>
      <c r="AM181" s="23">
        <v>0</v>
      </c>
      <c r="AN181" s="23">
        <v>0</v>
      </c>
      <c r="AO181" s="23">
        <v>0</v>
      </c>
      <c r="AP181" s="23">
        <v>0</v>
      </c>
      <c r="AQ181" s="23">
        <v>0</v>
      </c>
      <c r="AR181" s="23">
        <v>0</v>
      </c>
      <c r="AS181" s="25">
        <v>0</v>
      </c>
      <c r="AT181" s="54">
        <v>0</v>
      </c>
      <c r="AU181" s="52">
        <v>0</v>
      </c>
      <c r="AV181" s="52">
        <v>0</v>
      </c>
      <c r="AW181" s="52">
        <v>0</v>
      </c>
      <c r="AX181" s="38">
        <v>0</v>
      </c>
      <c r="AY181" s="38">
        <v>0</v>
      </c>
      <c r="AZ181" s="38">
        <v>0</v>
      </c>
      <c r="BA181" s="38">
        <v>0</v>
      </c>
      <c r="BB181" s="38">
        <v>0</v>
      </c>
      <c r="BC181" s="38">
        <v>0</v>
      </c>
      <c r="BD181" s="38">
        <v>0</v>
      </c>
      <c r="BE181" s="38">
        <v>0</v>
      </c>
      <c r="BF181" s="38">
        <v>0</v>
      </c>
      <c r="BG181" s="38">
        <v>0</v>
      </c>
      <c r="BH181" s="40">
        <v>3</v>
      </c>
      <c r="BI181" s="40" t="s">
        <v>1612</v>
      </c>
      <c r="BJ181" s="40">
        <v>0</v>
      </c>
    </row>
    <row r="182" spans="1:62" x14ac:dyDescent="0.25">
      <c r="A182" s="6">
        <v>181</v>
      </c>
      <c r="B182" s="6" t="s">
        <v>1806</v>
      </c>
      <c r="C182" s="6" t="s">
        <v>1614</v>
      </c>
      <c r="D182" s="6" t="s">
        <v>1614</v>
      </c>
      <c r="E182" s="6" t="s">
        <v>1615</v>
      </c>
      <c r="F182" s="6" t="s">
        <v>4</v>
      </c>
      <c r="G182" s="17">
        <v>45054.682638888888</v>
      </c>
      <c r="H182" s="21">
        <v>-4</v>
      </c>
      <c r="I182" s="4">
        <f t="shared" si="9"/>
        <v>45054.515972222223</v>
      </c>
      <c r="J182" s="3">
        <v>25</v>
      </c>
      <c r="K182" s="3">
        <v>17000</v>
      </c>
      <c r="L182" s="3">
        <f t="shared" si="10"/>
        <v>8.634082217973231E-4</v>
      </c>
      <c r="M182" s="3">
        <v>270</v>
      </c>
      <c r="N182" s="3">
        <v>29</v>
      </c>
      <c r="O182" s="3" t="s">
        <v>1334</v>
      </c>
      <c r="P182" s="3">
        <v>40.318809000000002</v>
      </c>
      <c r="Q182" s="3">
        <v>-74.801321999999999</v>
      </c>
      <c r="R182" s="3">
        <v>25000</v>
      </c>
      <c r="S182" s="3">
        <v>25000</v>
      </c>
      <c r="T182" s="3">
        <v>5000</v>
      </c>
      <c r="U182" s="3">
        <v>30</v>
      </c>
      <c r="V182" s="3">
        <v>25000</v>
      </c>
      <c r="W182" s="3" t="s">
        <v>1433</v>
      </c>
      <c r="X182" s="3" t="s">
        <v>1579</v>
      </c>
      <c r="Y182" s="3">
        <v>3300</v>
      </c>
      <c r="Z182" s="3">
        <v>60000</v>
      </c>
      <c r="AA182" s="3">
        <v>60000</v>
      </c>
      <c r="AB182" s="5">
        <v>3000</v>
      </c>
      <c r="AC182" s="5">
        <v>5</v>
      </c>
      <c r="AD182" s="5">
        <v>5</v>
      </c>
      <c r="AE182" s="5">
        <v>8.9999999999999993E-3</v>
      </c>
      <c r="AF182" s="5">
        <v>1.2E-2</v>
      </c>
      <c r="AG182" s="5">
        <v>0</v>
      </c>
      <c r="AH182" s="5">
        <v>-1</v>
      </c>
      <c r="AI182" s="5">
        <v>1</v>
      </c>
      <c r="AJ182" s="45">
        <v>0</v>
      </c>
      <c r="AK182" s="45">
        <v>0</v>
      </c>
      <c r="AL182" s="45">
        <v>0</v>
      </c>
      <c r="AM182" s="23">
        <v>0</v>
      </c>
      <c r="AN182" s="23">
        <v>0</v>
      </c>
      <c r="AO182" s="23">
        <v>0</v>
      </c>
      <c r="AP182" s="23">
        <v>0</v>
      </c>
      <c r="AQ182" s="23">
        <v>0</v>
      </c>
      <c r="AR182" s="23">
        <v>0</v>
      </c>
      <c r="AS182" s="25">
        <v>0</v>
      </c>
      <c r="AT182" s="54">
        <v>0</v>
      </c>
      <c r="AU182" s="52">
        <v>0</v>
      </c>
      <c r="AV182" s="52">
        <v>0</v>
      </c>
      <c r="AW182" s="52">
        <v>0</v>
      </c>
      <c r="AX182" s="38">
        <v>0</v>
      </c>
      <c r="AY182" s="38">
        <v>0</v>
      </c>
      <c r="AZ182" s="38">
        <v>0</v>
      </c>
      <c r="BA182" s="38">
        <v>141</v>
      </c>
      <c r="BB182" s="38">
        <v>0</v>
      </c>
      <c r="BC182" s="38">
        <v>0</v>
      </c>
      <c r="BD182" s="38">
        <v>0</v>
      </c>
      <c r="BE182" s="38">
        <v>0</v>
      </c>
      <c r="BF182" s="38">
        <v>0</v>
      </c>
      <c r="BG182" s="38">
        <v>0</v>
      </c>
      <c r="BH182" s="40">
        <v>0</v>
      </c>
      <c r="BI182" s="40" t="s">
        <v>1416</v>
      </c>
      <c r="BJ182" s="40">
        <v>0</v>
      </c>
    </row>
    <row r="183" spans="1:62" x14ac:dyDescent="0.25">
      <c r="A183" s="6">
        <v>183</v>
      </c>
      <c r="B183" s="6" t="s">
        <v>1808</v>
      </c>
      <c r="C183" s="6" t="s">
        <v>1620</v>
      </c>
      <c r="D183" s="6" t="s">
        <v>1619</v>
      </c>
      <c r="E183" s="6" t="s">
        <v>1447</v>
      </c>
      <c r="F183" s="6" t="s">
        <v>100</v>
      </c>
      <c r="G183" s="17">
        <v>45066.473877314813</v>
      </c>
      <c r="H183" s="21">
        <v>10</v>
      </c>
      <c r="I183" s="4">
        <f t="shared" si="9"/>
        <v>45066.890543981477</v>
      </c>
      <c r="J183" s="3">
        <v>77318</v>
      </c>
      <c r="K183" s="3">
        <v>27920</v>
      </c>
      <c r="L183" s="3">
        <f t="shared" si="10"/>
        <v>7.2026078149139581</v>
      </c>
      <c r="M183" s="3">
        <v>280.89999999999998</v>
      </c>
      <c r="N183" s="3">
        <v>50.3</v>
      </c>
      <c r="O183" s="3" t="s">
        <v>1270</v>
      </c>
      <c r="P183" s="3">
        <v>-17.844999999999999</v>
      </c>
      <c r="Q183" s="3">
        <v>141.9</v>
      </c>
      <c r="R183" s="3">
        <v>29000</v>
      </c>
      <c r="S183" s="3">
        <v>29000</v>
      </c>
      <c r="T183" s="3">
        <v>5000</v>
      </c>
      <c r="U183" s="3">
        <f>N183</f>
        <v>50.3</v>
      </c>
      <c r="V183" s="3">
        <v>28500</v>
      </c>
      <c r="W183" s="3" t="s">
        <v>144</v>
      </c>
      <c r="X183" s="3" t="s">
        <v>382</v>
      </c>
      <c r="Y183" s="3">
        <v>0</v>
      </c>
      <c r="Z183" s="3">
        <v>60000</v>
      </c>
      <c r="AA183" s="3">
        <v>60000</v>
      </c>
      <c r="AB183" s="5">
        <v>500</v>
      </c>
      <c r="AC183" s="5">
        <v>2</v>
      </c>
      <c r="AD183" s="5">
        <v>2</v>
      </c>
      <c r="AE183" s="5">
        <v>4.8999999999999998E-3</v>
      </c>
      <c r="AF183" s="5">
        <v>0.05</v>
      </c>
      <c r="AG183" s="5">
        <v>500</v>
      </c>
      <c r="AH183" s="5">
        <v>-1</v>
      </c>
      <c r="AI183" s="5">
        <v>1</v>
      </c>
      <c r="AJ183" s="45">
        <v>0</v>
      </c>
      <c r="AK183" s="45">
        <v>0</v>
      </c>
      <c r="AL183" s="45">
        <v>0</v>
      </c>
      <c r="AM183" s="23">
        <v>0</v>
      </c>
      <c r="AN183" s="23">
        <v>0</v>
      </c>
      <c r="AO183" s="23">
        <v>0</v>
      </c>
      <c r="AP183" s="23">
        <v>0</v>
      </c>
      <c r="AQ183" s="23">
        <v>0</v>
      </c>
      <c r="AR183" s="23">
        <v>0</v>
      </c>
      <c r="AS183" s="25">
        <v>0</v>
      </c>
      <c r="AT183" s="54">
        <v>0</v>
      </c>
      <c r="AU183" s="52">
        <v>0</v>
      </c>
      <c r="AV183" s="52">
        <v>0</v>
      </c>
      <c r="AW183" s="52">
        <v>0</v>
      </c>
      <c r="AX183" s="38">
        <v>0</v>
      </c>
      <c r="AY183" s="38">
        <v>0</v>
      </c>
      <c r="AZ183" s="38">
        <v>0</v>
      </c>
      <c r="BA183" s="38">
        <v>4</v>
      </c>
      <c r="BB183" s="38">
        <v>0</v>
      </c>
      <c r="BC183" s="38">
        <v>0</v>
      </c>
      <c r="BD183" s="38">
        <v>0</v>
      </c>
      <c r="BE183" s="38">
        <v>0</v>
      </c>
      <c r="BF183" s="38">
        <v>0</v>
      </c>
      <c r="BG183" s="38">
        <v>0</v>
      </c>
      <c r="BH183" s="40">
        <v>2</v>
      </c>
      <c r="BI183" s="40" t="s">
        <v>1416</v>
      </c>
      <c r="BJ183" s="40">
        <v>0</v>
      </c>
    </row>
    <row r="184" spans="1:62" x14ac:dyDescent="0.25">
      <c r="A184" s="6">
        <v>182</v>
      </c>
      <c r="B184" s="6" t="s">
        <v>1807</v>
      </c>
      <c r="C184" s="6" t="s">
        <v>1617</v>
      </c>
      <c r="D184" s="6" t="s">
        <v>1617</v>
      </c>
      <c r="E184" s="6" t="s">
        <v>1618</v>
      </c>
      <c r="F184" s="6" t="s">
        <v>704</v>
      </c>
      <c r="G184" s="17">
        <v>45066.895293414353</v>
      </c>
      <c r="H184" s="21">
        <v>2</v>
      </c>
      <c r="I184" s="4">
        <f t="shared" si="9"/>
        <v>45066.978626747688</v>
      </c>
      <c r="J184" s="3">
        <v>25</v>
      </c>
      <c r="K184" s="3">
        <v>15985.39</v>
      </c>
      <c r="L184" s="3">
        <f t="shared" si="10"/>
        <v>7.6342224382200039E-4</v>
      </c>
      <c r="M184" s="3">
        <v>21.19</v>
      </c>
      <c r="N184" s="3">
        <v>37.200000000000003</v>
      </c>
      <c r="O184" s="3" t="s">
        <v>1334</v>
      </c>
      <c r="P184" s="3">
        <v>47.584083</v>
      </c>
      <c r="Q184" s="3">
        <v>17.505913</v>
      </c>
      <c r="R184" s="3">
        <v>32419.55</v>
      </c>
      <c r="S184" s="3">
        <f>R184</f>
        <v>32419.55</v>
      </c>
      <c r="T184" s="3">
        <v>5000</v>
      </c>
      <c r="U184" s="3">
        <f>N184</f>
        <v>37.200000000000003</v>
      </c>
      <c r="V184" s="3">
        <f>S184</f>
        <v>32419.55</v>
      </c>
      <c r="W184" s="3" t="s">
        <v>144</v>
      </c>
      <c r="X184" s="3" t="s">
        <v>382</v>
      </c>
      <c r="Y184" s="3">
        <v>0</v>
      </c>
      <c r="Z184" s="3">
        <v>60000</v>
      </c>
      <c r="AA184" s="3">
        <v>60000</v>
      </c>
      <c r="AB184" s="5">
        <v>500</v>
      </c>
      <c r="AC184" s="5">
        <v>0.46200000000000002</v>
      </c>
      <c r="AD184" s="5">
        <v>0.35699999999999998</v>
      </c>
      <c r="AE184" s="5">
        <v>5.0000000000000001E-3</v>
      </c>
      <c r="AF184" s="5">
        <v>5.0000000000000001E-3</v>
      </c>
      <c r="AG184" s="5">
        <v>500</v>
      </c>
      <c r="AH184" s="5">
        <v>-1</v>
      </c>
      <c r="AI184" s="5">
        <v>1</v>
      </c>
      <c r="AJ184" s="45">
        <v>0</v>
      </c>
      <c r="AK184" s="45">
        <v>0</v>
      </c>
      <c r="AL184" s="45">
        <v>0</v>
      </c>
      <c r="AM184" s="23">
        <v>0</v>
      </c>
      <c r="AN184" s="23">
        <v>0</v>
      </c>
      <c r="AO184" s="23">
        <v>0</v>
      </c>
      <c r="AP184" s="23">
        <v>0</v>
      </c>
      <c r="AQ184" s="23">
        <v>0</v>
      </c>
      <c r="AR184" s="23">
        <v>0</v>
      </c>
      <c r="AS184" s="25">
        <v>0</v>
      </c>
      <c r="AT184" s="54">
        <v>0</v>
      </c>
      <c r="AU184" s="52">
        <v>0</v>
      </c>
      <c r="AV184" s="52">
        <v>0</v>
      </c>
      <c r="AW184" s="52">
        <v>0</v>
      </c>
      <c r="AX184" s="38">
        <v>0</v>
      </c>
      <c r="AY184" s="38">
        <v>0</v>
      </c>
      <c r="AZ184" s="38">
        <v>0</v>
      </c>
      <c r="BA184" s="38">
        <v>141</v>
      </c>
      <c r="BB184" s="38">
        <v>0</v>
      </c>
      <c r="BC184" s="38">
        <v>0</v>
      </c>
      <c r="BD184" s="38">
        <v>0</v>
      </c>
      <c r="BE184" s="38">
        <v>0</v>
      </c>
      <c r="BF184" s="38">
        <v>0</v>
      </c>
      <c r="BG184" s="38">
        <v>0</v>
      </c>
      <c r="BH184" s="40">
        <v>3</v>
      </c>
      <c r="BI184" s="40" t="s">
        <v>1416</v>
      </c>
      <c r="BJ184" s="40">
        <v>0</v>
      </c>
    </row>
    <row r="185" spans="1:62" x14ac:dyDescent="0.25">
      <c r="A185" s="6">
        <v>184</v>
      </c>
      <c r="B185" s="6" t="s">
        <v>1809</v>
      </c>
      <c r="C185" s="6" t="s">
        <v>1623</v>
      </c>
      <c r="D185" s="6" t="s">
        <v>1622</v>
      </c>
      <c r="E185" s="6" t="s">
        <v>1621</v>
      </c>
      <c r="F185" s="6" t="s">
        <v>142</v>
      </c>
      <c r="G185" s="17">
        <v>45103.864710648151</v>
      </c>
      <c r="H185" s="21">
        <v>2</v>
      </c>
      <c r="I185" s="4">
        <f t="shared" si="9"/>
        <v>45103.948043981487</v>
      </c>
      <c r="J185" s="3">
        <v>200</v>
      </c>
      <c r="K185" s="3">
        <v>20920</v>
      </c>
      <c r="L185" s="3">
        <f t="shared" si="10"/>
        <v>1.0460000000000001E-2</v>
      </c>
      <c r="M185" s="3">
        <v>319.3</v>
      </c>
      <c r="N185" s="3">
        <v>60</v>
      </c>
      <c r="O185" s="3" t="s">
        <v>1334</v>
      </c>
      <c r="P185" s="3">
        <v>49.701658000000002</v>
      </c>
      <c r="Q185" s="3">
        <v>10.695015</v>
      </c>
      <c r="R185" s="3">
        <v>34500</v>
      </c>
      <c r="S185" s="3">
        <v>34500</v>
      </c>
      <c r="T185" s="3">
        <v>8000</v>
      </c>
      <c r="U185" s="3">
        <f>N185</f>
        <v>60</v>
      </c>
      <c r="V185" s="3">
        <f>S185</f>
        <v>34500</v>
      </c>
      <c r="W185" s="3" t="s">
        <v>144</v>
      </c>
      <c r="X185" s="3" t="s">
        <v>382</v>
      </c>
      <c r="Y185" s="3">
        <v>0</v>
      </c>
      <c r="Z185" s="3">
        <v>60000</v>
      </c>
      <c r="AA185" s="3">
        <v>60000</v>
      </c>
      <c r="AB185" s="5">
        <v>200</v>
      </c>
      <c r="AC185" s="5">
        <v>1</v>
      </c>
      <c r="AD185" s="5">
        <v>2</v>
      </c>
      <c r="AE185" s="5">
        <v>5.0000000000000001E-3</v>
      </c>
      <c r="AF185" s="5">
        <v>0.01</v>
      </c>
      <c r="AG185" s="5">
        <v>500</v>
      </c>
      <c r="AH185" s="5">
        <v>-1</v>
      </c>
      <c r="AI185" s="5">
        <v>1</v>
      </c>
      <c r="AJ185" s="45">
        <v>0</v>
      </c>
      <c r="AK185" s="45">
        <v>0</v>
      </c>
      <c r="AL185" s="45">
        <v>0</v>
      </c>
      <c r="AM185" s="23">
        <v>0</v>
      </c>
      <c r="AN185" s="23">
        <v>0</v>
      </c>
      <c r="AO185" s="23">
        <v>0</v>
      </c>
      <c r="AP185" s="23">
        <v>0</v>
      </c>
      <c r="AQ185" s="23">
        <v>0</v>
      </c>
      <c r="AR185" s="23">
        <v>0</v>
      </c>
      <c r="AS185" s="25">
        <v>0</v>
      </c>
      <c r="AT185" s="54">
        <v>0</v>
      </c>
      <c r="AU185" s="52">
        <v>0</v>
      </c>
      <c r="AV185" s="52">
        <v>0</v>
      </c>
      <c r="AW185" s="52">
        <v>0</v>
      </c>
      <c r="AX185" s="38">
        <v>0</v>
      </c>
      <c r="AY185" s="38">
        <v>0</v>
      </c>
      <c r="AZ185" s="38">
        <v>0</v>
      </c>
      <c r="BA185" s="38">
        <v>0</v>
      </c>
      <c r="BB185" s="38">
        <v>0</v>
      </c>
      <c r="BC185" s="38">
        <v>0</v>
      </c>
      <c r="BD185" s="38">
        <v>0</v>
      </c>
      <c r="BE185" s="38">
        <v>0</v>
      </c>
      <c r="BF185" s="38">
        <v>0</v>
      </c>
      <c r="BG185" s="38">
        <v>0</v>
      </c>
      <c r="BH185" s="40">
        <v>3</v>
      </c>
      <c r="BI185" s="40" t="s">
        <v>1543</v>
      </c>
      <c r="BJ185" s="40">
        <v>0</v>
      </c>
    </row>
    <row r="186" spans="1:62" x14ac:dyDescent="0.25">
      <c r="A186" s="6">
        <v>185</v>
      </c>
      <c r="B186" s="6" t="s">
        <v>1810</v>
      </c>
      <c r="C186" s="6" t="s">
        <v>1624</v>
      </c>
      <c r="D186" s="6" t="s">
        <v>1624</v>
      </c>
      <c r="E186" s="6" t="s">
        <v>1625</v>
      </c>
      <c r="F186" s="6" t="s">
        <v>509</v>
      </c>
      <c r="G186" s="17">
        <v>45118.784571759257</v>
      </c>
      <c r="H186" s="21">
        <v>2</v>
      </c>
      <c r="I186" s="4">
        <f t="shared" si="9"/>
        <v>45118.867905092593</v>
      </c>
      <c r="J186" s="3">
        <v>200</v>
      </c>
      <c r="K186" s="3">
        <v>19000</v>
      </c>
      <c r="L186" s="3">
        <f t="shared" si="10"/>
        <v>8.628107074569789E-3</v>
      </c>
      <c r="M186" s="3">
        <v>140.19999999999999</v>
      </c>
      <c r="N186" s="3">
        <v>32.43</v>
      </c>
      <c r="O186" s="3" t="s">
        <v>1334</v>
      </c>
      <c r="P186" s="3">
        <v>43.459882999999998</v>
      </c>
      <c r="Q186" s="3">
        <v>23.543707999999999</v>
      </c>
      <c r="R186" s="3">
        <v>27292.799999999999</v>
      </c>
      <c r="S186" s="3">
        <f>R186</f>
        <v>27292.799999999999</v>
      </c>
      <c r="T186" s="3">
        <v>5000</v>
      </c>
      <c r="U186" s="3">
        <f>N186</f>
        <v>32.43</v>
      </c>
      <c r="V186" s="3">
        <v>27292.799999999999</v>
      </c>
      <c r="W186" s="3" t="s">
        <v>144</v>
      </c>
      <c r="X186" s="3" t="s">
        <v>382</v>
      </c>
      <c r="Y186" s="3">
        <v>0</v>
      </c>
      <c r="Z186" s="3">
        <v>60000</v>
      </c>
      <c r="AA186" s="3">
        <v>60000</v>
      </c>
      <c r="AB186" s="5">
        <v>900</v>
      </c>
      <c r="AC186" s="5">
        <v>0.91200000000000003</v>
      </c>
      <c r="AD186" s="5">
        <v>0.35599999999999998</v>
      </c>
      <c r="AE186" s="5">
        <v>1.5E-3</v>
      </c>
      <c r="AF186" s="5">
        <v>8.9999999999999993E-3</v>
      </c>
      <c r="AG186" s="5">
        <v>100</v>
      </c>
      <c r="AH186" s="5">
        <v>-1</v>
      </c>
      <c r="AI186" s="5">
        <v>1</v>
      </c>
      <c r="AJ186" s="45">
        <v>0</v>
      </c>
      <c r="AK186" s="45">
        <v>0</v>
      </c>
      <c r="AL186" s="45">
        <v>0</v>
      </c>
      <c r="AM186" s="23">
        <v>0</v>
      </c>
      <c r="AN186" s="23">
        <v>0</v>
      </c>
      <c r="AO186" s="23">
        <v>0</v>
      </c>
      <c r="AP186" s="23">
        <v>0</v>
      </c>
      <c r="AQ186" s="23">
        <v>0</v>
      </c>
      <c r="AR186" s="23">
        <v>0</v>
      </c>
      <c r="AS186" s="25">
        <v>0</v>
      </c>
      <c r="AT186" s="54">
        <v>0</v>
      </c>
      <c r="AU186" s="52">
        <v>0</v>
      </c>
      <c r="AV186" s="52">
        <v>0</v>
      </c>
      <c r="AW186" s="52">
        <v>0</v>
      </c>
      <c r="AX186" s="38">
        <v>0</v>
      </c>
      <c r="AY186" s="38">
        <v>0</v>
      </c>
      <c r="AZ186" s="38">
        <v>0</v>
      </c>
      <c r="BA186" s="38">
        <v>0</v>
      </c>
      <c r="BB186" s="38">
        <v>0</v>
      </c>
      <c r="BC186" s="38">
        <v>0</v>
      </c>
      <c r="BD186" s="38">
        <v>142</v>
      </c>
      <c r="BE186" s="38">
        <v>0</v>
      </c>
      <c r="BF186" s="38">
        <v>0</v>
      </c>
      <c r="BG186" s="38">
        <v>0</v>
      </c>
      <c r="BH186" s="40">
        <v>3</v>
      </c>
      <c r="BI186" s="40" t="s">
        <v>1487</v>
      </c>
      <c r="BJ186" s="40">
        <v>0</v>
      </c>
    </row>
    <row r="187" spans="1:62" x14ac:dyDescent="0.25">
      <c r="A187" s="6">
        <v>186</v>
      </c>
      <c r="B187" s="6" t="s">
        <v>1811</v>
      </c>
      <c r="C187" s="6" t="s">
        <v>1630</v>
      </c>
      <c r="D187" s="6" t="s">
        <v>1631</v>
      </c>
      <c r="E187" s="6" t="s">
        <v>1632</v>
      </c>
      <c r="F187" s="6" t="s">
        <v>829</v>
      </c>
      <c r="G187" s="17">
        <v>45133.154097222221</v>
      </c>
      <c r="H187" s="21">
        <v>-7</v>
      </c>
      <c r="I187" s="4">
        <f t="shared" si="9"/>
        <v>45132.862430555557</v>
      </c>
      <c r="J187" s="3">
        <v>15170</v>
      </c>
      <c r="K187" s="3">
        <v>15580</v>
      </c>
      <c r="L187" s="3">
        <f t="shared" si="10"/>
        <v>0.44004674808795408</v>
      </c>
      <c r="M187" s="3">
        <v>292.2</v>
      </c>
      <c r="N187" s="3">
        <v>56.8</v>
      </c>
      <c r="O187" s="3" t="s">
        <v>1270</v>
      </c>
      <c r="P187" s="3">
        <v>18.899999999999999</v>
      </c>
      <c r="Q187" s="3">
        <v>-103.4</v>
      </c>
      <c r="R187" s="3">
        <v>36100</v>
      </c>
      <c r="S187" s="3">
        <v>36100</v>
      </c>
      <c r="T187" s="3">
        <v>15580</v>
      </c>
      <c r="U187" s="3">
        <f>N187</f>
        <v>56.8</v>
      </c>
      <c r="V187" s="3">
        <v>12000</v>
      </c>
      <c r="W187" s="3" t="s">
        <v>144</v>
      </c>
      <c r="X187" s="3" t="s">
        <v>382</v>
      </c>
      <c r="Y187" s="3">
        <v>0</v>
      </c>
      <c r="Z187" s="3">
        <v>60000</v>
      </c>
      <c r="AA187" s="3">
        <v>60000</v>
      </c>
      <c r="AB187" s="5">
        <v>500</v>
      </c>
      <c r="AC187" s="5">
        <v>0.5</v>
      </c>
      <c r="AD187" s="5">
        <v>0.5</v>
      </c>
      <c r="AE187" s="5">
        <v>0.05</v>
      </c>
      <c r="AF187" s="5">
        <v>0.05</v>
      </c>
      <c r="AG187" s="5">
        <v>500</v>
      </c>
      <c r="AH187" s="5">
        <v>-1</v>
      </c>
      <c r="AI187" s="5">
        <v>1</v>
      </c>
      <c r="AJ187" s="45">
        <v>0</v>
      </c>
      <c r="AK187" s="45">
        <v>0</v>
      </c>
      <c r="AL187" s="45">
        <v>0</v>
      </c>
      <c r="AM187" s="23">
        <v>0</v>
      </c>
      <c r="AN187" s="23">
        <v>0</v>
      </c>
      <c r="AO187" s="23">
        <v>0</v>
      </c>
      <c r="AP187" s="23">
        <v>0</v>
      </c>
      <c r="AQ187" s="23">
        <v>0</v>
      </c>
      <c r="AR187" s="23">
        <v>0</v>
      </c>
      <c r="AS187" s="25">
        <v>0</v>
      </c>
      <c r="AT187" s="54">
        <v>0</v>
      </c>
      <c r="AU187" s="52">
        <v>0</v>
      </c>
      <c r="AV187" s="52">
        <v>0</v>
      </c>
      <c r="AW187" s="52">
        <v>0</v>
      </c>
      <c r="AX187" s="38">
        <v>0</v>
      </c>
      <c r="AY187" s="38">
        <v>4</v>
      </c>
      <c r="AZ187" s="38">
        <v>0</v>
      </c>
      <c r="BA187" s="38">
        <v>0</v>
      </c>
      <c r="BB187" s="38">
        <v>0</v>
      </c>
      <c r="BC187" s="38">
        <v>0</v>
      </c>
      <c r="BD187" s="38">
        <v>4</v>
      </c>
      <c r="BE187" s="38">
        <v>0</v>
      </c>
      <c r="BF187" s="38">
        <v>0</v>
      </c>
      <c r="BG187" s="38">
        <v>0</v>
      </c>
      <c r="BH187" s="40">
        <v>2</v>
      </c>
      <c r="BI187" s="40" t="s">
        <v>1416</v>
      </c>
      <c r="BJ187" s="40">
        <v>0</v>
      </c>
    </row>
    <row r="188" spans="1:62" x14ac:dyDescent="0.25">
      <c r="A188" s="6">
        <v>187</v>
      </c>
      <c r="B188" s="6" t="s">
        <v>1812</v>
      </c>
      <c r="C188" s="6" t="s">
        <v>1629</v>
      </c>
      <c r="D188" s="6" t="s">
        <v>1629</v>
      </c>
      <c r="E188" s="6" t="s">
        <v>1406</v>
      </c>
      <c r="F188" s="6" t="s">
        <v>4</v>
      </c>
      <c r="G188" s="17">
        <v>45140.259212962963</v>
      </c>
      <c r="H188" s="21">
        <v>-4</v>
      </c>
      <c r="I188" s="4">
        <f t="shared" si="9"/>
        <v>45140.092546296299</v>
      </c>
      <c r="J188" s="3">
        <v>35</v>
      </c>
      <c r="K188" s="3">
        <v>22770</v>
      </c>
      <c r="L188" s="3">
        <f t="shared" si="10"/>
        <v>2.1685649498087954E-3</v>
      </c>
      <c r="M188" s="3">
        <v>149</v>
      </c>
      <c r="N188" s="3">
        <v>74</v>
      </c>
      <c r="O188" s="3" t="s">
        <v>1334</v>
      </c>
      <c r="P188" s="3">
        <v>36.668284999999997</v>
      </c>
      <c r="Q188" s="3">
        <v>-82.717695000000006</v>
      </c>
      <c r="R188" s="3">
        <v>26975</v>
      </c>
      <c r="S188" s="3">
        <f>R188+1000</f>
        <v>27975</v>
      </c>
      <c r="T188" s="3">
        <v>5000</v>
      </c>
      <c r="U188" s="3">
        <v>68</v>
      </c>
      <c r="V188" s="3">
        <f>R188</f>
        <v>26975</v>
      </c>
      <c r="W188" s="3" t="s">
        <v>144</v>
      </c>
      <c r="X188" s="3" t="s">
        <v>382</v>
      </c>
      <c r="Y188" s="3">
        <v>0</v>
      </c>
      <c r="Z188" s="3">
        <v>60000</v>
      </c>
      <c r="AA188" s="3">
        <v>60000</v>
      </c>
      <c r="AB188" s="5">
        <v>1000</v>
      </c>
      <c r="AC188" s="5">
        <v>3</v>
      </c>
      <c r="AD188" s="5">
        <v>4</v>
      </c>
      <c r="AE188" s="5">
        <v>2.6700000000000002E-2</v>
      </c>
      <c r="AF188" s="5">
        <v>3.6499999999999998E-2</v>
      </c>
      <c r="AG188" s="5">
        <v>2675</v>
      </c>
      <c r="AH188" s="5">
        <v>-1</v>
      </c>
      <c r="AI188" s="5">
        <v>1</v>
      </c>
      <c r="AJ188" s="45">
        <v>0</v>
      </c>
      <c r="AK188" s="45">
        <v>0</v>
      </c>
      <c r="AL188" s="45">
        <v>0</v>
      </c>
      <c r="AM188" s="23">
        <v>0</v>
      </c>
      <c r="AN188" s="23">
        <v>0</v>
      </c>
      <c r="AO188" s="23">
        <v>0</v>
      </c>
      <c r="AP188" s="23">
        <v>0</v>
      </c>
      <c r="AQ188" s="23">
        <v>0</v>
      </c>
      <c r="AR188" s="23">
        <v>0</v>
      </c>
      <c r="AS188" s="25">
        <v>0</v>
      </c>
      <c r="AT188" s="54">
        <v>0</v>
      </c>
      <c r="AU188" s="52">
        <v>0</v>
      </c>
      <c r="AV188" s="52">
        <v>0</v>
      </c>
      <c r="AW188" s="52">
        <v>0</v>
      </c>
      <c r="AX188" s="38">
        <v>0</v>
      </c>
      <c r="AY188" s="38">
        <v>0</v>
      </c>
      <c r="AZ188" s="38">
        <v>0</v>
      </c>
      <c r="BA188" s="38">
        <v>0</v>
      </c>
      <c r="BB188" s="38">
        <v>0</v>
      </c>
      <c r="BC188" s="38">
        <v>0</v>
      </c>
      <c r="BD188" s="38">
        <v>0</v>
      </c>
      <c r="BE188" s="38">
        <v>0</v>
      </c>
      <c r="BF188" s="38">
        <v>0</v>
      </c>
      <c r="BG188" s="38">
        <v>0</v>
      </c>
      <c r="BH188" s="40">
        <v>3</v>
      </c>
      <c r="BI188" s="40" t="s">
        <v>1416</v>
      </c>
      <c r="BJ188" s="40">
        <v>0</v>
      </c>
    </row>
    <row r="189" spans="1:62" x14ac:dyDescent="0.25">
      <c r="A189" s="6">
        <v>188</v>
      </c>
      <c r="B189" s="6" t="s">
        <v>1813</v>
      </c>
      <c r="C189" s="6" t="s">
        <v>1641</v>
      </c>
      <c r="D189" s="6" t="s">
        <v>1642</v>
      </c>
      <c r="E189" s="6" t="s">
        <v>1638</v>
      </c>
      <c r="F189" s="6" t="s">
        <v>631</v>
      </c>
      <c r="G189" s="17">
        <v>45178.926215277781</v>
      </c>
      <c r="H189" s="21">
        <v>2</v>
      </c>
      <c r="I189" s="4">
        <f t="shared" si="9"/>
        <v>45179.009548611117</v>
      </c>
      <c r="J189" s="3">
        <v>10</v>
      </c>
      <c r="K189" s="3">
        <v>17000</v>
      </c>
      <c r="L189" s="3">
        <f t="shared" si="10"/>
        <v>3.4536328871892925E-4</v>
      </c>
      <c r="M189" s="3">
        <v>2.0994999999999999</v>
      </c>
      <c r="N189" s="3">
        <v>53.131300000000003</v>
      </c>
      <c r="O189" s="3" t="s">
        <v>1334</v>
      </c>
      <c r="P189" s="3">
        <v>47.375329000000001</v>
      </c>
      <c r="Q189" s="3">
        <v>2.28199</v>
      </c>
      <c r="R189" s="3">
        <v>22060.02</v>
      </c>
      <c r="S189" s="3">
        <f>R189</f>
        <v>22060.02</v>
      </c>
      <c r="T189" s="3">
        <v>3500</v>
      </c>
      <c r="U189" s="3">
        <f>N189</f>
        <v>53.131300000000003</v>
      </c>
      <c r="V189" s="3">
        <f>S189</f>
        <v>22060.02</v>
      </c>
      <c r="W189" s="3" t="s">
        <v>81</v>
      </c>
      <c r="X189" s="3" t="s">
        <v>382</v>
      </c>
      <c r="Y189" s="3">
        <v>0</v>
      </c>
      <c r="Z189" s="3">
        <v>60000</v>
      </c>
      <c r="AA189" s="3">
        <v>60000</v>
      </c>
      <c r="AB189" s="5">
        <v>1200</v>
      </c>
      <c r="AC189" s="5">
        <v>2.0994999999999999</v>
      </c>
      <c r="AD189" s="5">
        <v>0.16</v>
      </c>
      <c r="AE189" s="5">
        <v>6.9999999999999999E-4</v>
      </c>
      <c r="AF189" s="5">
        <v>4.0000000000000002E-4</v>
      </c>
      <c r="AG189" s="5">
        <v>34.36</v>
      </c>
      <c r="AH189" s="5">
        <v>-1</v>
      </c>
      <c r="AI189" s="5">
        <v>1</v>
      </c>
      <c r="AJ189" s="45">
        <v>0</v>
      </c>
      <c r="AK189" s="45">
        <v>0</v>
      </c>
      <c r="AL189" s="45">
        <v>0</v>
      </c>
      <c r="AM189" s="23">
        <v>0</v>
      </c>
      <c r="AN189" s="23">
        <v>0</v>
      </c>
      <c r="AO189" s="23">
        <v>0</v>
      </c>
      <c r="AP189" s="23">
        <v>0</v>
      </c>
      <c r="AQ189" s="23">
        <v>0</v>
      </c>
      <c r="AR189" s="23">
        <v>0</v>
      </c>
      <c r="AS189" s="25">
        <v>0</v>
      </c>
      <c r="AT189" s="54">
        <v>0</v>
      </c>
      <c r="AU189" s="52">
        <v>0</v>
      </c>
      <c r="AV189" s="52">
        <v>0</v>
      </c>
      <c r="AW189" s="52">
        <v>0</v>
      </c>
      <c r="AX189" s="38">
        <v>0</v>
      </c>
      <c r="AY189" s="38">
        <v>143</v>
      </c>
      <c r="AZ189" s="38">
        <v>0</v>
      </c>
      <c r="BA189" s="38">
        <v>0</v>
      </c>
      <c r="BB189" s="38">
        <v>0</v>
      </c>
      <c r="BC189" s="38">
        <v>0</v>
      </c>
      <c r="BD189" s="38">
        <v>144</v>
      </c>
      <c r="BE189" s="38">
        <v>0</v>
      </c>
      <c r="BF189" s="38">
        <v>0</v>
      </c>
      <c r="BG189" s="38">
        <v>0</v>
      </c>
      <c r="BH189" s="40">
        <v>3</v>
      </c>
      <c r="BI189" s="40" t="s">
        <v>1639</v>
      </c>
      <c r="BJ189" s="40">
        <v>0</v>
      </c>
    </row>
  </sheetData>
  <autoFilter ref="A5:BJ189" xr:uid="{332638A7-5364-4539-88F3-B010BD503402}">
    <sortState xmlns:xlrd2="http://schemas.microsoft.com/office/spreadsheetml/2017/richdata2" ref="A6:BJ189">
      <sortCondition ref="B5:B189"/>
    </sortState>
  </autoFilter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1A4F0-4F83-47A4-A055-B2C0DAB4F645}">
  <dimension ref="A2:X26"/>
  <sheetViews>
    <sheetView workbookViewId="0">
      <selection activeCell="X21" sqref="X21"/>
    </sheetView>
  </sheetViews>
  <sheetFormatPr defaultRowHeight="15" x14ac:dyDescent="0.25"/>
  <sheetData>
    <row r="2" spans="1:2" x14ac:dyDescent="0.25">
      <c r="A2" t="s">
        <v>1628</v>
      </c>
    </row>
    <row r="3" spans="1:2" x14ac:dyDescent="0.25">
      <c r="A3" t="s">
        <v>1626</v>
      </c>
      <c r="B3" t="s">
        <v>1627</v>
      </c>
    </row>
    <row r="4" spans="1:2" x14ac:dyDescent="0.25">
      <c r="A4">
        <v>180.7037</v>
      </c>
      <c r="B4">
        <v>30.39453</v>
      </c>
    </row>
    <row r="10" spans="1:2" x14ac:dyDescent="0.25">
      <c r="A10">
        <v>3.94</v>
      </c>
      <c r="B10">
        <v>30.393999999999998</v>
      </c>
    </row>
    <row r="11" spans="1:2" x14ac:dyDescent="0.25">
      <c r="A11">
        <v>1.04</v>
      </c>
      <c r="B11">
        <f>A11/A10*B10</f>
        <v>8.0227817258883256</v>
      </c>
    </row>
    <row r="19" spans="1:24" x14ac:dyDescent="0.25">
      <c r="X19">
        <v>182</v>
      </c>
    </row>
    <row r="20" spans="1:24" x14ac:dyDescent="0.25">
      <c r="X20">
        <v>25</v>
      </c>
    </row>
    <row r="21" spans="1:24" x14ac:dyDescent="0.25">
      <c r="X21">
        <f>DEGREES(ATAN(X20/X19))</f>
        <v>7.8213521043749488</v>
      </c>
    </row>
    <row r="23" spans="1:24" x14ac:dyDescent="0.25">
      <c r="A23">
        <v>30250</v>
      </c>
      <c r="B23">
        <v>8.0220000000000002</v>
      </c>
    </row>
    <row r="24" spans="1:24" x14ac:dyDescent="0.25">
      <c r="B24">
        <v>9.81</v>
      </c>
    </row>
    <row r="25" spans="1:24" x14ac:dyDescent="0.25">
      <c r="B25">
        <v>10.34</v>
      </c>
    </row>
    <row r="26" spans="1:24" x14ac:dyDescent="0.25">
      <c r="B26">
        <v>9.1259999999999994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8CB18-6EA0-4ACF-8EE2-9DD1689EBB8B}">
  <dimension ref="C2:T111"/>
  <sheetViews>
    <sheetView topLeftCell="A78" workbookViewId="0">
      <selection activeCell="I85" sqref="H85:I85"/>
    </sheetView>
  </sheetViews>
  <sheetFormatPr defaultRowHeight="15" x14ac:dyDescent="0.25"/>
  <cols>
    <col min="10" max="10" width="11.85546875" customWidth="1"/>
    <col min="11" max="11" width="16.5703125" customWidth="1"/>
    <col min="18" max="18" width="10" bestFit="1" customWidth="1"/>
  </cols>
  <sheetData>
    <row r="2" spans="3:11" x14ac:dyDescent="0.25">
      <c r="C2">
        <v>15830</v>
      </c>
    </row>
    <row r="3" spans="3:11" x14ac:dyDescent="0.25">
      <c r="C3">
        <v>21500</v>
      </c>
    </row>
    <row r="4" spans="3:11" x14ac:dyDescent="0.25">
      <c r="C4">
        <v>19500</v>
      </c>
    </row>
    <row r="5" spans="3:11" x14ac:dyDescent="0.25">
      <c r="C5">
        <v>25000</v>
      </c>
    </row>
    <row r="6" spans="3:11" x14ac:dyDescent="0.25">
      <c r="C6">
        <v>13600</v>
      </c>
    </row>
    <row r="7" spans="3:11" x14ac:dyDescent="0.25">
      <c r="C7">
        <v>44832</v>
      </c>
    </row>
    <row r="8" spans="3:11" x14ac:dyDescent="0.25">
      <c r="C8">
        <v>49000</v>
      </c>
    </row>
    <row r="9" spans="3:11" x14ac:dyDescent="0.25">
      <c r="C9">
        <v>9800</v>
      </c>
    </row>
    <row r="10" spans="3:11" x14ac:dyDescent="0.25">
      <c r="C10">
        <v>14800</v>
      </c>
    </row>
    <row r="11" spans="3:11" x14ac:dyDescent="0.25">
      <c r="C11">
        <v>11000</v>
      </c>
    </row>
    <row r="12" spans="3:11" x14ac:dyDescent="0.25">
      <c r="C12">
        <v>15200</v>
      </c>
    </row>
    <row r="13" spans="3:11" x14ac:dyDescent="0.25">
      <c r="C13">
        <v>20200</v>
      </c>
    </row>
    <row r="14" spans="3:11" x14ac:dyDescent="0.25">
      <c r="C14">
        <v>28600</v>
      </c>
    </row>
    <row r="15" spans="3:11" x14ac:dyDescent="0.25">
      <c r="C15">
        <v>19160</v>
      </c>
      <c r="J15">
        <v>3</v>
      </c>
      <c r="K15">
        <f>DEGREES(ATAN(1/J15))</f>
        <v>18.43494882292201</v>
      </c>
    </row>
    <row r="16" spans="3:11" x14ac:dyDescent="0.25">
      <c r="C16">
        <v>18614.2</v>
      </c>
      <c r="J16">
        <v>4</v>
      </c>
      <c r="K16">
        <f>DEGREES(ATAN(1/J16))</f>
        <v>14.036243467926479</v>
      </c>
    </row>
    <row r="17" spans="3:20" x14ac:dyDescent="0.25">
      <c r="C17">
        <v>30400</v>
      </c>
    </row>
    <row r="18" spans="3:20" x14ac:dyDescent="0.25">
      <c r="C18">
        <v>7827</v>
      </c>
    </row>
    <row r="19" spans="3:20" x14ac:dyDescent="0.25">
      <c r="C19">
        <v>14000</v>
      </c>
    </row>
    <row r="20" spans="3:20" x14ac:dyDescent="0.25">
      <c r="C20">
        <v>19998</v>
      </c>
    </row>
    <row r="21" spans="3:20" x14ac:dyDescent="0.25">
      <c r="C21">
        <v>17965</v>
      </c>
      <c r="R21">
        <v>100000</v>
      </c>
      <c r="S21" t="s">
        <v>12</v>
      </c>
    </row>
    <row r="22" spans="3:20" x14ac:dyDescent="0.25">
      <c r="C22">
        <v>59700</v>
      </c>
      <c r="R22">
        <v>30000</v>
      </c>
      <c r="S22" t="s">
        <v>1461</v>
      </c>
    </row>
    <row r="23" spans="3:20" x14ac:dyDescent="0.25">
      <c r="C23">
        <v>14065</v>
      </c>
      <c r="R23">
        <f>R21*R22</f>
        <v>3000000000</v>
      </c>
    </row>
    <row r="24" spans="3:20" x14ac:dyDescent="0.25">
      <c r="C24">
        <v>15300</v>
      </c>
      <c r="R24">
        <f>R23/1000000</f>
        <v>3000</v>
      </c>
    </row>
    <row r="25" spans="3:20" x14ac:dyDescent="0.25">
      <c r="C25">
        <v>20000</v>
      </c>
      <c r="J25" t="s">
        <v>1457</v>
      </c>
      <c r="K25" s="15">
        <v>1</v>
      </c>
      <c r="L25" t="s">
        <v>1458</v>
      </c>
    </row>
    <row r="26" spans="3:20" x14ac:dyDescent="0.25">
      <c r="C26">
        <v>15800</v>
      </c>
      <c r="J26" t="s">
        <v>1450</v>
      </c>
      <c r="K26" s="15">
        <v>10</v>
      </c>
      <c r="L26" t="s">
        <v>12</v>
      </c>
    </row>
    <row r="27" spans="3:20" x14ac:dyDescent="0.25">
      <c r="C27">
        <v>13395</v>
      </c>
      <c r="J27" t="s">
        <v>1451</v>
      </c>
      <c r="K27">
        <v>3230</v>
      </c>
      <c r="L27" t="s">
        <v>1452</v>
      </c>
    </row>
    <row r="28" spans="3:20" x14ac:dyDescent="0.25">
      <c r="C28">
        <v>15000</v>
      </c>
      <c r="J28" t="s">
        <v>180</v>
      </c>
      <c r="K28">
        <f>K26/K27</f>
        <v>3.0959752321981426E-3</v>
      </c>
      <c r="L28" t="s">
        <v>1453</v>
      </c>
      <c r="R28" t="s">
        <v>1460</v>
      </c>
      <c r="S28">
        <v>3.32577E-3</v>
      </c>
      <c r="T28" t="s">
        <v>1463</v>
      </c>
    </row>
    <row r="29" spans="3:20" x14ac:dyDescent="0.25">
      <c r="C29">
        <v>20950</v>
      </c>
      <c r="J29" t="s">
        <v>1456</v>
      </c>
      <c r="K29">
        <f>(0.75*K28/PI())^(1/3)</f>
        <v>9.041412620086417E-2</v>
      </c>
      <c r="L29" t="s">
        <v>182</v>
      </c>
      <c r="R29" t="s">
        <v>1451</v>
      </c>
      <c r="S29">
        <v>3230</v>
      </c>
      <c r="T29" t="s">
        <v>1452</v>
      </c>
    </row>
    <row r="30" spans="3:20" x14ac:dyDescent="0.25">
      <c r="C30">
        <v>28300</v>
      </c>
      <c r="J30" t="s">
        <v>1454</v>
      </c>
      <c r="K30">
        <f>PI()*K29^2*K25</f>
        <v>2.5681622128273292E-2</v>
      </c>
      <c r="L30" t="s">
        <v>1455</v>
      </c>
      <c r="N30">
        <f>PI()*((3*K26)/(4*K27*PI()))^(2/3)</f>
        <v>2.5681622128273299E-2</v>
      </c>
      <c r="O30">
        <f>PI()^(1/3)*(3/4)^(2/3)*K26^(2/3)*K27^(-2/3)</f>
        <v>2.5681622128273289E-2</v>
      </c>
      <c r="R30" t="s">
        <v>1462</v>
      </c>
      <c r="S30">
        <v>27900</v>
      </c>
      <c r="T30" t="s">
        <v>10</v>
      </c>
    </row>
    <row r="31" spans="3:20" ht="15.75" thickBot="1" x14ac:dyDescent="0.3">
      <c r="C31">
        <v>20960</v>
      </c>
      <c r="J31" t="s">
        <v>556</v>
      </c>
      <c r="K31" s="15">
        <v>1.2949999999999999</v>
      </c>
      <c r="L31" t="s">
        <v>1459</v>
      </c>
      <c r="R31" t="s">
        <v>1464</v>
      </c>
      <c r="S31">
        <v>1.2949999999999999</v>
      </c>
    </row>
    <row r="32" spans="3:20" ht="16.5" thickTop="1" thickBot="1" x14ac:dyDescent="0.3">
      <c r="C32">
        <v>20930</v>
      </c>
      <c r="J32" t="s">
        <v>1460</v>
      </c>
      <c r="K32" s="49">
        <f>K31*K30/K26</f>
        <v>3.3257700656113913E-3</v>
      </c>
      <c r="R32" t="s">
        <v>1450</v>
      </c>
      <c r="S32">
        <f>(S31/S28)^3*((9*PI())/(16*S29^2))</f>
        <v>10.000000591845426</v>
      </c>
    </row>
    <row r="33" spans="3:11" ht="15.75" thickTop="1" x14ac:dyDescent="0.25">
      <c r="C33">
        <v>14235</v>
      </c>
      <c r="K33">
        <v>2.7000000000000001E-3</v>
      </c>
    </row>
    <row r="34" spans="3:11" x14ac:dyDescent="0.25">
      <c r="C34">
        <v>14500</v>
      </c>
      <c r="K34">
        <v>3.7000000000000002E-3</v>
      </c>
    </row>
    <row r="35" spans="3:11" x14ac:dyDescent="0.25">
      <c r="C35">
        <v>21272</v>
      </c>
    </row>
    <row r="36" spans="3:11" x14ac:dyDescent="0.25">
      <c r="C36">
        <v>14720</v>
      </c>
    </row>
    <row r="37" spans="3:11" x14ac:dyDescent="0.25">
      <c r="C37">
        <v>22500</v>
      </c>
    </row>
    <row r="38" spans="3:11" x14ac:dyDescent="0.25">
      <c r="C38">
        <v>16900</v>
      </c>
    </row>
    <row r="39" spans="3:11" x14ac:dyDescent="0.25">
      <c r="C39">
        <v>12760</v>
      </c>
    </row>
    <row r="40" spans="3:11" x14ac:dyDescent="0.25">
      <c r="C40">
        <v>18050</v>
      </c>
    </row>
    <row r="41" spans="3:11" x14ac:dyDescent="0.25">
      <c r="C41">
        <v>13800</v>
      </c>
    </row>
    <row r="42" spans="3:11" x14ac:dyDescent="0.25">
      <c r="C42">
        <v>14900</v>
      </c>
    </row>
    <row r="43" spans="3:11" x14ac:dyDescent="0.25">
      <c r="C43">
        <v>14680</v>
      </c>
    </row>
    <row r="44" spans="3:11" x14ac:dyDescent="0.25">
      <c r="C44">
        <v>18210</v>
      </c>
    </row>
    <row r="45" spans="3:11" x14ac:dyDescent="0.25">
      <c r="C45">
        <v>13750</v>
      </c>
    </row>
    <row r="46" spans="3:11" x14ac:dyDescent="0.25">
      <c r="C46">
        <v>24200</v>
      </c>
    </row>
    <row r="47" spans="3:11" x14ac:dyDescent="0.25">
      <c r="C47">
        <v>21890</v>
      </c>
    </row>
    <row r="48" spans="3:11" x14ac:dyDescent="0.25">
      <c r="C48">
        <v>17100</v>
      </c>
    </row>
    <row r="49" spans="3:3" x14ac:dyDescent="0.25">
      <c r="C49">
        <v>18000</v>
      </c>
    </row>
    <row r="50" spans="3:3" x14ac:dyDescent="0.25">
      <c r="C50">
        <v>20860</v>
      </c>
    </row>
    <row r="51" spans="3:3" x14ac:dyDescent="0.25">
      <c r="C51">
        <v>16944</v>
      </c>
    </row>
    <row r="52" spans="3:3" x14ac:dyDescent="0.25">
      <c r="C52">
        <v>31690</v>
      </c>
    </row>
    <row r="53" spans="3:3" x14ac:dyDescent="0.25">
      <c r="C53">
        <v>19080</v>
      </c>
    </row>
    <row r="54" spans="3:3" x14ac:dyDescent="0.25">
      <c r="C54">
        <v>23000</v>
      </c>
    </row>
    <row r="55" spans="3:3" x14ac:dyDescent="0.25">
      <c r="C55">
        <v>50</v>
      </c>
    </row>
    <row r="56" spans="3:3" x14ac:dyDescent="0.25">
      <c r="C56">
        <v>35000</v>
      </c>
    </row>
    <row r="57" spans="3:3" x14ac:dyDescent="0.25">
      <c r="C57">
        <v>21530</v>
      </c>
    </row>
    <row r="58" spans="3:3" x14ac:dyDescent="0.25">
      <c r="C58">
        <v>17000</v>
      </c>
    </row>
    <row r="59" spans="3:3" x14ac:dyDescent="0.25">
      <c r="C59">
        <v>14880</v>
      </c>
    </row>
    <row r="60" spans="3:3" x14ac:dyDescent="0.25">
      <c r="C60">
        <v>14646</v>
      </c>
    </row>
    <row r="61" spans="3:3" x14ac:dyDescent="0.25">
      <c r="C61">
        <v>12500</v>
      </c>
    </row>
    <row r="62" spans="3:3" x14ac:dyDescent="0.25">
      <c r="C62">
        <v>17970</v>
      </c>
    </row>
    <row r="63" spans="3:3" x14ac:dyDescent="0.25">
      <c r="C63">
        <v>16550</v>
      </c>
    </row>
    <row r="64" spans="3:3" x14ac:dyDescent="0.25">
      <c r="C64">
        <v>20100</v>
      </c>
    </row>
    <row r="65" spans="3:3" x14ac:dyDescent="0.25">
      <c r="C65">
        <v>17400</v>
      </c>
    </row>
    <row r="66" spans="3:3" x14ac:dyDescent="0.25">
      <c r="C66">
        <v>17055</v>
      </c>
    </row>
    <row r="67" spans="3:3" x14ac:dyDescent="0.25">
      <c r="C67">
        <v>28072.8632</v>
      </c>
    </row>
    <row r="68" spans="3:3" x14ac:dyDescent="0.25">
      <c r="C68">
        <v>12000</v>
      </c>
    </row>
    <row r="69" spans="3:3" x14ac:dyDescent="0.25">
      <c r="C69">
        <v>13710</v>
      </c>
    </row>
    <row r="70" spans="3:3" x14ac:dyDescent="0.25">
      <c r="C70">
        <v>26300</v>
      </c>
    </row>
    <row r="71" spans="3:3" x14ac:dyDescent="0.25">
      <c r="C71">
        <v>29400</v>
      </c>
    </row>
    <row r="72" spans="3:3" x14ac:dyDescent="0.25">
      <c r="C72">
        <v>13150</v>
      </c>
    </row>
    <row r="73" spans="3:3" x14ac:dyDescent="0.25">
      <c r="C73">
        <v>10600</v>
      </c>
    </row>
    <row r="74" spans="3:3" x14ac:dyDescent="0.25">
      <c r="C74">
        <v>23260</v>
      </c>
    </row>
    <row r="75" spans="3:3" x14ac:dyDescent="0.25">
      <c r="C75">
        <v>12900</v>
      </c>
    </row>
    <row r="76" spans="3:3" x14ac:dyDescent="0.25">
      <c r="C76">
        <v>24501</v>
      </c>
    </row>
    <row r="77" spans="3:3" x14ac:dyDescent="0.25">
      <c r="C77">
        <v>26620</v>
      </c>
    </row>
    <row r="78" spans="3:3" x14ac:dyDescent="0.25">
      <c r="C78">
        <v>13000</v>
      </c>
    </row>
    <row r="79" spans="3:3" x14ac:dyDescent="0.25">
      <c r="C79">
        <v>14650</v>
      </c>
    </row>
    <row r="80" spans="3:3" x14ac:dyDescent="0.25">
      <c r="C80">
        <v>24020</v>
      </c>
    </row>
    <row r="81" spans="3:13" x14ac:dyDescent="0.25">
      <c r="C81">
        <v>18300</v>
      </c>
    </row>
    <row r="82" spans="3:13" x14ac:dyDescent="0.25">
      <c r="C82">
        <v>18190</v>
      </c>
    </row>
    <row r="83" spans="3:13" x14ac:dyDescent="0.25">
      <c r="C83">
        <v>16000</v>
      </c>
      <c r="H83">
        <v>53.784500000000001</v>
      </c>
      <c r="I83">
        <v>9.6201899999999991</v>
      </c>
    </row>
    <row r="84" spans="3:13" x14ac:dyDescent="0.25">
      <c r="C84">
        <v>12138</v>
      </c>
      <c r="H84">
        <v>53.769359999999999</v>
      </c>
      <c r="I84">
        <v>9.6132980000000003</v>
      </c>
    </row>
    <row r="85" spans="3:13" x14ac:dyDescent="0.25">
      <c r="C85">
        <v>13330</v>
      </c>
      <c r="H85">
        <f>H84-H83</f>
        <v>-1.5140000000002374E-2</v>
      </c>
      <c r="I85">
        <f>I84-I83</f>
        <v>-6.891999999998788E-3</v>
      </c>
    </row>
    <row r="86" spans="3:13" x14ac:dyDescent="0.25">
      <c r="C86">
        <v>13100</v>
      </c>
    </row>
    <row r="87" spans="3:13" x14ac:dyDescent="0.25">
      <c r="C87">
        <v>14010</v>
      </c>
    </row>
    <row r="88" spans="3:13" x14ac:dyDescent="0.25">
      <c r="C88">
        <v>14360</v>
      </c>
    </row>
    <row r="89" spans="3:13" ht="15.75" thickBot="1" x14ac:dyDescent="0.3">
      <c r="C89">
        <v>12897.75</v>
      </c>
    </row>
    <row r="90" spans="3:13" x14ac:dyDescent="0.25">
      <c r="C90">
        <v>12750</v>
      </c>
      <c r="F90" s="56" t="s">
        <v>1598</v>
      </c>
      <c r="G90" s="56" t="s">
        <v>1600</v>
      </c>
    </row>
    <row r="91" spans="3:13" x14ac:dyDescent="0.25">
      <c r="C91">
        <v>17240</v>
      </c>
      <c r="F91">
        <v>50</v>
      </c>
      <c r="G91">
        <v>1</v>
      </c>
    </row>
    <row r="92" spans="3:13" x14ac:dyDescent="0.25">
      <c r="C92">
        <v>22810</v>
      </c>
      <c r="F92">
        <v>6015</v>
      </c>
      <c r="G92">
        <v>0</v>
      </c>
    </row>
    <row r="93" spans="3:13" x14ac:dyDescent="0.25">
      <c r="C93">
        <v>24000</v>
      </c>
      <c r="F93">
        <v>11980</v>
      </c>
      <c r="G93">
        <v>6</v>
      </c>
    </row>
    <row r="94" spans="3:13" x14ac:dyDescent="0.25">
      <c r="C94">
        <v>21350</v>
      </c>
      <c r="F94">
        <v>17945</v>
      </c>
      <c r="G94">
        <v>52</v>
      </c>
    </row>
    <row r="95" spans="3:13" x14ac:dyDescent="0.25">
      <c r="C95">
        <v>27900</v>
      </c>
      <c r="F95">
        <v>23910</v>
      </c>
      <c r="G95">
        <v>30</v>
      </c>
    </row>
    <row r="96" spans="3:13" x14ac:dyDescent="0.25">
      <c r="C96">
        <v>15160</v>
      </c>
      <c r="F96">
        <v>29875</v>
      </c>
      <c r="G96">
        <v>13</v>
      </c>
      <c r="L96">
        <v>5.65</v>
      </c>
      <c r="M96">
        <v>291.5</v>
      </c>
    </row>
    <row r="97" spans="3:13" x14ac:dyDescent="0.25">
      <c r="C97">
        <v>31858</v>
      </c>
      <c r="F97">
        <v>35840</v>
      </c>
      <c r="G97">
        <v>4</v>
      </c>
      <c r="L97">
        <v>4.53</v>
      </c>
      <c r="M97">
        <v>294.98</v>
      </c>
    </row>
    <row r="98" spans="3:13" x14ac:dyDescent="0.25">
      <c r="C98">
        <v>14202</v>
      </c>
      <c r="F98">
        <v>41805</v>
      </c>
      <c r="G98">
        <v>0</v>
      </c>
      <c r="L98">
        <f>AVERAGE(L96:L97)</f>
        <v>5.09</v>
      </c>
      <c r="M98">
        <f>AVERAGE(M96:M97)</f>
        <v>293.24</v>
      </c>
    </row>
    <row r="99" spans="3:13" x14ac:dyDescent="0.25">
      <c r="C99">
        <v>12248</v>
      </c>
      <c r="F99">
        <v>47770</v>
      </c>
      <c r="G99">
        <v>1</v>
      </c>
    </row>
    <row r="100" spans="3:13" x14ac:dyDescent="0.25">
      <c r="C100">
        <v>13640</v>
      </c>
      <c r="F100">
        <v>53735</v>
      </c>
      <c r="G100">
        <v>1</v>
      </c>
    </row>
    <row r="101" spans="3:13" ht="15.75" thickBot="1" x14ac:dyDescent="0.3">
      <c r="C101">
        <v>16870</v>
      </c>
      <c r="F101" s="55" t="s">
        <v>1599</v>
      </c>
      <c r="G101" s="55">
        <v>1</v>
      </c>
    </row>
    <row r="102" spans="3:13" x14ac:dyDescent="0.25">
      <c r="C102">
        <v>20500</v>
      </c>
    </row>
    <row r="103" spans="3:13" x14ac:dyDescent="0.25">
      <c r="C103">
        <v>8000</v>
      </c>
    </row>
    <row r="104" spans="3:13" x14ac:dyDescent="0.25">
      <c r="C104">
        <v>11882</v>
      </c>
    </row>
    <row r="105" spans="3:13" x14ac:dyDescent="0.25">
      <c r="C105">
        <v>23218</v>
      </c>
    </row>
    <row r="106" spans="3:13" x14ac:dyDescent="0.25">
      <c r="C106">
        <v>13851.53</v>
      </c>
    </row>
    <row r="107" spans="3:13" x14ac:dyDescent="0.25">
      <c r="C107">
        <v>16440</v>
      </c>
    </row>
    <row r="108" spans="3:13" x14ac:dyDescent="0.25">
      <c r="C108">
        <v>26000</v>
      </c>
    </row>
    <row r="109" spans="3:13" x14ac:dyDescent="0.25">
      <c r="C109">
        <v>14060.9</v>
      </c>
    </row>
    <row r="110" spans="3:13" x14ac:dyDescent="0.25">
      <c r="C110">
        <v>14016</v>
      </c>
    </row>
    <row r="111" spans="3:13" x14ac:dyDescent="0.25">
      <c r="C111">
        <v>17210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F5B9B-0F72-45F1-9ED5-2AE8EF041BE8}">
  <dimension ref="A2:V59"/>
  <sheetViews>
    <sheetView topLeftCell="D1" workbookViewId="0">
      <selection activeCell="L12" sqref="L12"/>
    </sheetView>
  </sheetViews>
  <sheetFormatPr defaultRowHeight="15" x14ac:dyDescent="0.25"/>
  <cols>
    <col min="5" max="5" width="17.7109375" customWidth="1"/>
    <col min="8" max="8" width="11" bestFit="1" customWidth="1"/>
    <col min="17" max="19" width="10" customWidth="1"/>
    <col min="22" max="22" width="14.140625" customWidth="1"/>
  </cols>
  <sheetData>
    <row r="2" spans="1:22" x14ac:dyDescent="0.25">
      <c r="H2">
        <v>14.3</v>
      </c>
    </row>
    <row r="5" spans="1:22" x14ac:dyDescent="0.25">
      <c r="H5">
        <v>19</v>
      </c>
    </row>
    <row r="7" spans="1:22" x14ac:dyDescent="0.25">
      <c r="A7">
        <v>90</v>
      </c>
      <c r="B7">
        <v>6</v>
      </c>
      <c r="K7">
        <v>16.391159999999999</v>
      </c>
      <c r="L7">
        <v>20741</v>
      </c>
      <c r="Q7" t="s">
        <v>13</v>
      </c>
      <c r="V7" t="s">
        <v>1180</v>
      </c>
    </row>
    <row r="8" spans="1:22" x14ac:dyDescent="0.25">
      <c r="A8">
        <v>8</v>
      </c>
      <c r="B8">
        <v>15</v>
      </c>
      <c r="E8">
        <f>F8-1</f>
        <v>51.430398403547677</v>
      </c>
      <c r="F8">
        <v>52.430398403547677</v>
      </c>
      <c r="K8">
        <v>16.7577</v>
      </c>
      <c r="L8">
        <v>21210</v>
      </c>
      <c r="P8" t="s">
        <v>13</v>
      </c>
      <c r="Q8" s="15">
        <v>84</v>
      </c>
      <c r="V8" t="s">
        <v>1181</v>
      </c>
    </row>
    <row r="9" spans="1:22" x14ac:dyDescent="0.25">
      <c r="A9">
        <v>0</v>
      </c>
      <c r="B9">
        <v>16</v>
      </c>
      <c r="E9">
        <f>F9-1</f>
        <v>50.770179072847675</v>
      </c>
      <c r="F9">
        <v>51.770179072847675</v>
      </c>
      <c r="P9" t="s">
        <v>403</v>
      </c>
      <c r="Q9" s="15">
        <v>21</v>
      </c>
      <c r="V9" t="s">
        <v>1182</v>
      </c>
    </row>
    <row r="10" spans="1:22" x14ac:dyDescent="0.25">
      <c r="H10" t="s">
        <v>87</v>
      </c>
      <c r="P10" t="s">
        <v>408</v>
      </c>
      <c r="Q10" s="15">
        <v>51.26</v>
      </c>
      <c r="V10" t="s">
        <v>1183</v>
      </c>
    </row>
    <row r="11" spans="1:22" x14ac:dyDescent="0.25">
      <c r="H11" s="16">
        <f>DEGREES(ATAN(J20/F15))</f>
        <v>37.530814597260232</v>
      </c>
      <c r="J11">
        <f>90-H11</f>
        <v>52.469185402739768</v>
      </c>
    </row>
    <row r="12" spans="1:22" x14ac:dyDescent="0.25">
      <c r="E12" t="s">
        <v>89</v>
      </c>
      <c r="F12" s="15">
        <v>68</v>
      </c>
      <c r="L12">
        <v>3.9</v>
      </c>
    </row>
    <row r="13" spans="1:22" x14ac:dyDescent="0.25">
      <c r="J13" s="16">
        <f>SQRT(F15^2+J20^2)</f>
        <v>52.70950673265687</v>
      </c>
      <c r="L13">
        <f>J13/L12</f>
        <v>13.515258136578685</v>
      </c>
      <c r="Q13" t="s">
        <v>404</v>
      </c>
    </row>
    <row r="14" spans="1:22" x14ac:dyDescent="0.25">
      <c r="Q14" s="16">
        <f>Q8+(Q9+(Q10/60))/60</f>
        <v>84.364238888888892</v>
      </c>
    </row>
    <row r="15" spans="1:22" x14ac:dyDescent="0.25">
      <c r="E15" t="s">
        <v>86</v>
      </c>
      <c r="F15" s="16">
        <f>F12-F18</f>
        <v>41.8</v>
      </c>
    </row>
    <row r="16" spans="1:22" x14ac:dyDescent="0.25">
      <c r="M16">
        <f>90-H11</f>
        <v>52.469185402739768</v>
      </c>
    </row>
    <row r="18" spans="3:22" x14ac:dyDescent="0.25">
      <c r="E18" t="s">
        <v>88</v>
      </c>
      <c r="F18" s="15">
        <v>26.2</v>
      </c>
      <c r="U18">
        <v>43</v>
      </c>
      <c r="V18" t="s">
        <v>1172</v>
      </c>
    </row>
    <row r="19" spans="3:22" x14ac:dyDescent="0.25">
      <c r="U19">
        <v>14</v>
      </c>
      <c r="V19" t="s">
        <v>1173</v>
      </c>
    </row>
    <row r="20" spans="3:22" x14ac:dyDescent="0.25">
      <c r="I20" t="s">
        <v>85</v>
      </c>
      <c r="J20" s="15">
        <v>32.11</v>
      </c>
      <c r="K20">
        <v>52</v>
      </c>
      <c r="N20">
        <f>8/COS(RADIANS(H11))</f>
        <v>10.087943872278828</v>
      </c>
      <c r="U20">
        <f>U18/U19</f>
        <v>3.0714285714285716</v>
      </c>
      <c r="V20" t="s">
        <v>1174</v>
      </c>
    </row>
    <row r="21" spans="3:22" x14ac:dyDescent="0.25">
      <c r="K21">
        <v>66</v>
      </c>
      <c r="P21">
        <v>14.784000000000001</v>
      </c>
    </row>
    <row r="22" spans="3:22" x14ac:dyDescent="0.25">
      <c r="J22">
        <v>158.5</v>
      </c>
      <c r="K22" s="50">
        <f>J22+12.3</f>
        <v>170.8</v>
      </c>
      <c r="L22">
        <v>42.8</v>
      </c>
      <c r="P22">
        <f>P21*2</f>
        <v>29.568000000000001</v>
      </c>
    </row>
    <row r="23" spans="3:22" x14ac:dyDescent="0.25">
      <c r="E23" t="s">
        <v>1146</v>
      </c>
      <c r="F23">
        <v>1.5</v>
      </c>
      <c r="J23">
        <v>160.30000000000001</v>
      </c>
      <c r="K23" s="50">
        <f>J23+12.3</f>
        <v>172.60000000000002</v>
      </c>
    </row>
    <row r="24" spans="3:22" x14ac:dyDescent="0.25">
      <c r="E24" t="s">
        <v>1147</v>
      </c>
      <c r="L24">
        <v>53</v>
      </c>
    </row>
    <row r="25" spans="3:22" x14ac:dyDescent="0.25">
      <c r="I25">
        <v>1</v>
      </c>
      <c r="L25">
        <f>L24-L22</f>
        <v>10.200000000000003</v>
      </c>
    </row>
    <row r="26" spans="3:22" x14ac:dyDescent="0.25">
      <c r="I26">
        <v>1</v>
      </c>
      <c r="J26">
        <v>0.68269999999999997</v>
      </c>
      <c r="L26">
        <f>L25/2</f>
        <v>5.1000000000000014</v>
      </c>
    </row>
    <row r="27" spans="3:22" x14ac:dyDescent="0.25">
      <c r="I27">
        <v>1.5</v>
      </c>
      <c r="J27">
        <v>0.86</v>
      </c>
      <c r="Q27">
        <f>1/1000</f>
        <v>1E-3</v>
      </c>
    </row>
    <row r="28" spans="3:22" x14ac:dyDescent="0.25">
      <c r="I28">
        <v>2</v>
      </c>
      <c r="J28">
        <v>0.95450000000000002</v>
      </c>
    </row>
    <row r="29" spans="3:22" x14ac:dyDescent="0.25">
      <c r="E29" t="s">
        <v>93</v>
      </c>
      <c r="I29">
        <v>3</v>
      </c>
      <c r="J29">
        <v>0.99729999999999996</v>
      </c>
    </row>
    <row r="30" spans="3:22" x14ac:dyDescent="0.25">
      <c r="E30" t="s">
        <v>95</v>
      </c>
      <c r="F30" s="3">
        <v>20</v>
      </c>
      <c r="N30" t="s">
        <v>1148</v>
      </c>
      <c r="O30">
        <v>1.5</v>
      </c>
    </row>
    <row r="31" spans="3:22" x14ac:dyDescent="0.25">
      <c r="E31" t="s">
        <v>94</v>
      </c>
      <c r="F31" s="15">
        <v>17000</v>
      </c>
      <c r="N31" t="s">
        <v>1149</v>
      </c>
      <c r="O31">
        <v>1.2090000000000001</v>
      </c>
    </row>
    <row r="32" spans="3:22" x14ac:dyDescent="0.25">
      <c r="C32">
        <f>C33+180</f>
        <v>188.6789</v>
      </c>
      <c r="E32" t="s">
        <v>96</v>
      </c>
      <c r="F32" s="16">
        <f>F30*(0.5*F30*F31^2)^-0.075</f>
        <v>3.9035761640608024</v>
      </c>
      <c r="G32">
        <v>60</v>
      </c>
      <c r="H32">
        <f>G32/F32</f>
        <v>15.370521152476591</v>
      </c>
      <c r="L32">
        <v>11403</v>
      </c>
    </row>
    <row r="33" spans="2:12" x14ac:dyDescent="0.25">
      <c r="B33">
        <v>273.23790000000002</v>
      </c>
      <c r="C33">
        <v>8.6789000000000005</v>
      </c>
      <c r="E33" t="s">
        <v>97</v>
      </c>
      <c r="F33" s="16">
        <f>F30*(0.5*F30*F31^2)^0.075</f>
        <v>102.47014101651061</v>
      </c>
      <c r="G33">
        <v>225</v>
      </c>
      <c r="H33">
        <f>F33/G33</f>
        <v>0.45542284896226937</v>
      </c>
      <c r="L33">
        <v>9774</v>
      </c>
    </row>
    <row r="34" spans="2:12" x14ac:dyDescent="0.25">
      <c r="C34">
        <f>B33-180</f>
        <v>93.237900000000025</v>
      </c>
    </row>
    <row r="36" spans="2:12" x14ac:dyDescent="0.25">
      <c r="F36">
        <f>F32/100</f>
        <v>3.9035761640608027E-2</v>
      </c>
    </row>
    <row r="37" spans="2:12" x14ac:dyDescent="0.25">
      <c r="F37">
        <f>F33/100</f>
        <v>1.0247014101651062</v>
      </c>
    </row>
    <row r="38" spans="2:12" x14ac:dyDescent="0.25">
      <c r="B38">
        <f>B39-730</f>
        <v>2570</v>
      </c>
      <c r="C38">
        <f>C39-0.16</f>
        <v>3.19</v>
      </c>
      <c r="D38">
        <f>D39-0.22</f>
        <v>2.9899999999999998</v>
      </c>
    </row>
    <row r="39" spans="2:12" x14ac:dyDescent="0.25">
      <c r="B39">
        <v>3300</v>
      </c>
      <c r="C39">
        <v>3.35</v>
      </c>
      <c r="D39">
        <v>3.21</v>
      </c>
    </row>
    <row r="40" spans="2:12" x14ac:dyDescent="0.25">
      <c r="B40">
        <f>B39+730</f>
        <v>4030</v>
      </c>
      <c r="C40">
        <f>C39+0.16</f>
        <v>3.5100000000000002</v>
      </c>
      <c r="D40">
        <f>D39+0.22</f>
        <v>3.43</v>
      </c>
    </row>
    <row r="41" spans="2:12" x14ac:dyDescent="0.25">
      <c r="E41" t="s">
        <v>93</v>
      </c>
      <c r="F41" s="15">
        <v>350</v>
      </c>
      <c r="G41" t="s">
        <v>12</v>
      </c>
      <c r="K41">
        <v>200</v>
      </c>
    </row>
    <row r="42" spans="2:12" x14ac:dyDescent="0.25">
      <c r="E42" t="s">
        <v>178</v>
      </c>
      <c r="F42" s="15">
        <v>2640</v>
      </c>
      <c r="G42" t="s">
        <v>171</v>
      </c>
    </row>
    <row r="43" spans="2:12" x14ac:dyDescent="0.25">
      <c r="E43" t="s">
        <v>180</v>
      </c>
      <c r="F43">
        <f>F41/F42</f>
        <v>0.13257575757575757</v>
      </c>
      <c r="G43" t="s">
        <v>181</v>
      </c>
      <c r="H43">
        <f>F43*100*100*100</f>
        <v>132575.75757575757</v>
      </c>
    </row>
    <row r="44" spans="2:12" x14ac:dyDescent="0.25">
      <c r="E44" t="s">
        <v>179</v>
      </c>
      <c r="F44">
        <f>((6*F43)/PI())^(1/3)</f>
        <v>0.63263784032285664</v>
      </c>
      <c r="G44" t="s">
        <v>182</v>
      </c>
    </row>
    <row r="45" spans="2:12" x14ac:dyDescent="0.25">
      <c r="F45">
        <f>F44*100</f>
        <v>63.263784032285663</v>
      </c>
    </row>
    <row r="47" spans="2:12" x14ac:dyDescent="0.25">
      <c r="F47">
        <v>4.4000000000000003E-3</v>
      </c>
    </row>
    <row r="48" spans="2:12" x14ac:dyDescent="0.25">
      <c r="F48">
        <f>F41*F47</f>
        <v>1.54</v>
      </c>
    </row>
    <row r="56" spans="8:8" x14ac:dyDescent="0.25">
      <c r="H56">
        <v>35.200000000000003</v>
      </c>
    </row>
    <row r="57" spans="8:8" x14ac:dyDescent="0.25">
      <c r="H57">
        <v>47.5</v>
      </c>
    </row>
    <row r="58" spans="8:8" x14ac:dyDescent="0.25">
      <c r="H58">
        <v>41.35</v>
      </c>
    </row>
    <row r="59" spans="8:8" x14ac:dyDescent="0.25">
      <c r="H59">
        <f>H57-H58</f>
        <v>6.1499999999999986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4690B-ED60-431C-A6ED-A0B01298B5D9}">
  <dimension ref="A1:C207"/>
  <sheetViews>
    <sheetView topLeftCell="A11" workbookViewId="0">
      <selection activeCell="C17" sqref="C17"/>
    </sheetView>
  </sheetViews>
  <sheetFormatPr defaultRowHeight="15" x14ac:dyDescent="0.25"/>
  <cols>
    <col min="2" max="2" width="16" bestFit="1" customWidth="1"/>
    <col min="3" max="3" width="65.140625" bestFit="1" customWidth="1"/>
  </cols>
  <sheetData>
    <row r="1" spans="1:3" x14ac:dyDescent="0.25">
      <c r="A1" t="s">
        <v>1826</v>
      </c>
    </row>
    <row r="2" spans="1:3" x14ac:dyDescent="0.25">
      <c r="A2">
        <v>-12</v>
      </c>
      <c r="B2" t="s">
        <v>1827</v>
      </c>
      <c r="C2" t="s">
        <v>1828</v>
      </c>
    </row>
    <row r="3" spans="1:3" x14ac:dyDescent="0.25">
      <c r="A3">
        <v>-12</v>
      </c>
      <c r="B3" t="s">
        <v>1829</v>
      </c>
      <c r="C3" t="s">
        <v>1830</v>
      </c>
    </row>
    <row r="4" spans="1:3" x14ac:dyDescent="0.25">
      <c r="A4">
        <v>-11</v>
      </c>
      <c r="B4" t="s">
        <v>1831</v>
      </c>
      <c r="C4" t="s">
        <v>1832</v>
      </c>
    </row>
    <row r="5" spans="1:3" x14ac:dyDescent="0.25">
      <c r="A5">
        <v>-11</v>
      </c>
      <c r="B5" t="s">
        <v>1833</v>
      </c>
      <c r="C5" t="s">
        <v>1834</v>
      </c>
    </row>
    <row r="6" spans="1:3" x14ac:dyDescent="0.25">
      <c r="A6">
        <v>-10</v>
      </c>
      <c r="B6" t="s">
        <v>1835</v>
      </c>
      <c r="C6" t="s">
        <v>1836</v>
      </c>
    </row>
    <row r="7" spans="1:3" x14ac:dyDescent="0.25">
      <c r="A7">
        <v>-10</v>
      </c>
      <c r="B7" t="s">
        <v>1837</v>
      </c>
      <c r="C7" t="s">
        <v>1838</v>
      </c>
    </row>
    <row r="8" spans="1:3" x14ac:dyDescent="0.25">
      <c r="A8">
        <v>-10</v>
      </c>
      <c r="B8" t="s">
        <v>1839</v>
      </c>
      <c r="C8" t="s">
        <v>1840</v>
      </c>
    </row>
    <row r="9" spans="1:3" x14ac:dyDescent="0.25">
      <c r="A9">
        <v>-10</v>
      </c>
      <c r="B9" t="s">
        <v>1841</v>
      </c>
      <c r="C9" t="s">
        <v>1842</v>
      </c>
    </row>
    <row r="10" spans="1:3" x14ac:dyDescent="0.25">
      <c r="A10">
        <v>-9.5</v>
      </c>
      <c r="B10" t="s">
        <v>1843</v>
      </c>
      <c r="C10" t="s">
        <v>1844</v>
      </c>
    </row>
    <row r="11" spans="1:3" x14ac:dyDescent="0.25">
      <c r="A11">
        <v>-9.5</v>
      </c>
      <c r="B11" t="s">
        <v>1845</v>
      </c>
      <c r="C11" t="s">
        <v>1844</v>
      </c>
    </row>
    <row r="12" spans="1:3" x14ac:dyDescent="0.25">
      <c r="A12">
        <v>-9</v>
      </c>
      <c r="B12" t="s">
        <v>1846</v>
      </c>
      <c r="C12" t="s">
        <v>1847</v>
      </c>
    </row>
    <row r="13" spans="1:3" x14ac:dyDescent="0.25">
      <c r="A13">
        <v>-9</v>
      </c>
      <c r="B13" t="s">
        <v>1848</v>
      </c>
      <c r="C13" t="s">
        <v>1849</v>
      </c>
    </row>
    <row r="14" spans="1:3" x14ac:dyDescent="0.25">
      <c r="A14">
        <v>-9</v>
      </c>
      <c r="B14" t="s">
        <v>1850</v>
      </c>
      <c r="C14" t="s">
        <v>1851</v>
      </c>
    </row>
    <row r="15" spans="1:3" x14ac:dyDescent="0.25">
      <c r="A15">
        <v>-9</v>
      </c>
      <c r="B15" t="s">
        <v>1852</v>
      </c>
      <c r="C15" t="s">
        <v>1853</v>
      </c>
    </row>
    <row r="16" spans="1:3" x14ac:dyDescent="0.25">
      <c r="A16">
        <v>-8</v>
      </c>
      <c r="B16" t="s">
        <v>1854</v>
      </c>
      <c r="C16" t="s">
        <v>1855</v>
      </c>
    </row>
    <row r="17" spans="1:3" x14ac:dyDescent="0.25">
      <c r="A17">
        <v>-8</v>
      </c>
      <c r="B17" t="s">
        <v>1856</v>
      </c>
      <c r="C17" t="s">
        <v>1857</v>
      </c>
    </row>
    <row r="18" spans="1:3" x14ac:dyDescent="0.25">
      <c r="A18">
        <v>-8</v>
      </c>
      <c r="B18" t="s">
        <v>1858</v>
      </c>
      <c r="C18" t="s">
        <v>1859</v>
      </c>
    </row>
    <row r="19" spans="1:3" x14ac:dyDescent="0.25">
      <c r="A19">
        <v>-7</v>
      </c>
      <c r="B19" t="s">
        <v>1860</v>
      </c>
      <c r="C19" t="s">
        <v>1861</v>
      </c>
    </row>
    <row r="20" spans="1:3" x14ac:dyDescent="0.25">
      <c r="A20">
        <v>-7</v>
      </c>
      <c r="B20" t="s">
        <v>1862</v>
      </c>
      <c r="C20" t="s">
        <v>1863</v>
      </c>
    </row>
    <row r="21" spans="1:3" x14ac:dyDescent="0.25">
      <c r="A21">
        <v>-6</v>
      </c>
      <c r="B21" t="s">
        <v>1864</v>
      </c>
      <c r="C21" t="s">
        <v>1865</v>
      </c>
    </row>
    <row r="22" spans="1:3" x14ac:dyDescent="0.25">
      <c r="A22">
        <v>-6</v>
      </c>
      <c r="B22" t="s">
        <v>1866</v>
      </c>
      <c r="C22" t="s">
        <v>1867</v>
      </c>
    </row>
    <row r="23" spans="1:3" x14ac:dyDescent="0.25">
      <c r="A23">
        <v>-6</v>
      </c>
      <c r="B23" t="s">
        <v>1868</v>
      </c>
      <c r="C23" t="s">
        <v>1869</v>
      </c>
    </row>
    <row r="24" spans="1:3" x14ac:dyDescent="0.25">
      <c r="A24">
        <v>-6</v>
      </c>
      <c r="B24" t="s">
        <v>1870</v>
      </c>
      <c r="C24" t="s">
        <v>1871</v>
      </c>
    </row>
    <row r="25" spans="1:3" x14ac:dyDescent="0.25">
      <c r="A25">
        <v>-5</v>
      </c>
      <c r="B25" t="s">
        <v>1872</v>
      </c>
      <c r="C25" t="s">
        <v>1873</v>
      </c>
    </row>
    <row r="26" spans="1:3" x14ac:dyDescent="0.25">
      <c r="A26">
        <v>-5</v>
      </c>
      <c r="B26" t="s">
        <v>1874</v>
      </c>
      <c r="C26" t="s">
        <v>1875</v>
      </c>
    </row>
    <row r="27" spans="1:3" x14ac:dyDescent="0.25">
      <c r="A27">
        <v>-5</v>
      </c>
      <c r="B27" t="s">
        <v>1876</v>
      </c>
      <c r="C27" t="s">
        <v>1877</v>
      </c>
    </row>
    <row r="28" spans="1:3" x14ac:dyDescent="0.25">
      <c r="A28">
        <v>-5</v>
      </c>
      <c r="B28" t="s">
        <v>1864</v>
      </c>
      <c r="C28" t="s">
        <v>1878</v>
      </c>
    </row>
    <row r="29" spans="1:3" x14ac:dyDescent="0.25">
      <c r="A29">
        <v>-5</v>
      </c>
      <c r="B29" t="s">
        <v>1879</v>
      </c>
      <c r="C29" t="s">
        <v>1880</v>
      </c>
    </row>
    <row r="30" spans="1:3" x14ac:dyDescent="0.25">
      <c r="A30">
        <v>-5</v>
      </c>
      <c r="B30" t="s">
        <v>1881</v>
      </c>
      <c r="C30" t="s">
        <v>1882</v>
      </c>
    </row>
    <row r="31" spans="1:3" x14ac:dyDescent="0.25">
      <c r="A31">
        <v>-5</v>
      </c>
      <c r="B31" t="s">
        <v>612</v>
      </c>
      <c r="C31" t="s">
        <v>1883</v>
      </c>
    </row>
    <row r="32" spans="1:3" x14ac:dyDescent="0.25">
      <c r="A32">
        <v>-5</v>
      </c>
      <c r="B32" t="s">
        <v>1884</v>
      </c>
      <c r="C32" t="s">
        <v>1885</v>
      </c>
    </row>
    <row r="33" spans="1:3" x14ac:dyDescent="0.25">
      <c r="A33">
        <v>-4</v>
      </c>
      <c r="B33" t="s">
        <v>1886</v>
      </c>
      <c r="C33" t="s">
        <v>1887</v>
      </c>
    </row>
    <row r="34" spans="1:3" x14ac:dyDescent="0.25">
      <c r="A34">
        <v>-4</v>
      </c>
      <c r="B34" t="s">
        <v>1888</v>
      </c>
      <c r="C34" t="s">
        <v>1889</v>
      </c>
    </row>
    <row r="35" spans="1:3" x14ac:dyDescent="0.25">
      <c r="A35">
        <v>-4</v>
      </c>
      <c r="B35" t="s">
        <v>1890</v>
      </c>
      <c r="C35" t="s">
        <v>1891</v>
      </c>
    </row>
    <row r="36" spans="1:3" x14ac:dyDescent="0.25">
      <c r="A36">
        <v>-4</v>
      </c>
      <c r="B36" t="s">
        <v>1874</v>
      </c>
      <c r="C36" t="s">
        <v>1892</v>
      </c>
    </row>
    <row r="37" spans="1:3" x14ac:dyDescent="0.25">
      <c r="A37">
        <v>-4</v>
      </c>
      <c r="B37" t="s">
        <v>1893</v>
      </c>
      <c r="C37" t="s">
        <v>1894</v>
      </c>
    </row>
    <row r="38" spans="1:3" x14ac:dyDescent="0.25">
      <c r="A38">
        <v>-4</v>
      </c>
      <c r="B38" t="s">
        <v>1895</v>
      </c>
      <c r="C38" t="s">
        <v>1896</v>
      </c>
    </row>
    <row r="39" spans="1:3" x14ac:dyDescent="0.25">
      <c r="A39">
        <v>-4</v>
      </c>
      <c r="B39" t="s">
        <v>1881</v>
      </c>
      <c r="C39" t="s">
        <v>1897</v>
      </c>
    </row>
    <row r="40" spans="1:3" x14ac:dyDescent="0.25">
      <c r="A40">
        <v>-4</v>
      </c>
      <c r="B40" t="s">
        <v>1898</v>
      </c>
      <c r="C40" t="s">
        <v>1899</v>
      </c>
    </row>
    <row r="41" spans="1:3" x14ac:dyDescent="0.25">
      <c r="A41">
        <v>-4</v>
      </c>
      <c r="B41" t="s">
        <v>1900</v>
      </c>
      <c r="C41" t="s">
        <v>1901</v>
      </c>
    </row>
    <row r="42" spans="1:3" x14ac:dyDescent="0.25">
      <c r="A42">
        <v>-4</v>
      </c>
      <c r="B42" t="s">
        <v>1902</v>
      </c>
      <c r="C42" t="s">
        <v>1903</v>
      </c>
    </row>
    <row r="43" spans="1:3" x14ac:dyDescent="0.25">
      <c r="A43">
        <v>-4</v>
      </c>
      <c r="B43" t="s">
        <v>1904</v>
      </c>
      <c r="C43" t="s">
        <v>1905</v>
      </c>
    </row>
    <row r="44" spans="1:3" x14ac:dyDescent="0.25">
      <c r="A44">
        <v>-4</v>
      </c>
      <c r="B44" t="s">
        <v>1906</v>
      </c>
      <c r="C44" t="s">
        <v>1907</v>
      </c>
    </row>
    <row r="45" spans="1:3" x14ac:dyDescent="0.25">
      <c r="A45">
        <v>-3.5</v>
      </c>
      <c r="B45" t="s">
        <v>1908</v>
      </c>
      <c r="C45" t="s">
        <v>1909</v>
      </c>
    </row>
    <row r="46" spans="1:3" x14ac:dyDescent="0.25">
      <c r="A46">
        <v>-3.5</v>
      </c>
      <c r="B46" t="s">
        <v>1910</v>
      </c>
      <c r="C46" t="s">
        <v>1911</v>
      </c>
    </row>
    <row r="47" spans="1:3" x14ac:dyDescent="0.25">
      <c r="A47">
        <v>-3</v>
      </c>
      <c r="B47" t="s">
        <v>1912</v>
      </c>
      <c r="C47" t="s">
        <v>1913</v>
      </c>
    </row>
    <row r="48" spans="1:3" x14ac:dyDescent="0.25">
      <c r="A48">
        <v>-3</v>
      </c>
      <c r="B48" t="s">
        <v>1914</v>
      </c>
      <c r="C48" t="s">
        <v>1915</v>
      </c>
    </row>
    <row r="49" spans="1:3" x14ac:dyDescent="0.25">
      <c r="A49">
        <v>-3</v>
      </c>
      <c r="B49" t="s">
        <v>1916</v>
      </c>
      <c r="C49" t="s">
        <v>1917</v>
      </c>
    </row>
    <row r="50" spans="1:3" x14ac:dyDescent="0.25">
      <c r="A50">
        <v>-3</v>
      </c>
      <c r="B50" t="s">
        <v>1918</v>
      </c>
      <c r="C50" t="s">
        <v>1919</v>
      </c>
    </row>
    <row r="51" spans="1:3" x14ac:dyDescent="0.25">
      <c r="A51">
        <v>-3</v>
      </c>
      <c r="B51" t="s">
        <v>1920</v>
      </c>
      <c r="C51" t="s">
        <v>1921</v>
      </c>
    </row>
    <row r="52" spans="1:3" x14ac:dyDescent="0.25">
      <c r="A52">
        <v>-3</v>
      </c>
      <c r="B52" t="s">
        <v>1922</v>
      </c>
      <c r="C52" t="s">
        <v>1923</v>
      </c>
    </row>
    <row r="53" spans="1:3" x14ac:dyDescent="0.25">
      <c r="A53">
        <v>-3</v>
      </c>
      <c r="B53" t="s">
        <v>1924</v>
      </c>
      <c r="C53" t="s">
        <v>1925</v>
      </c>
    </row>
    <row r="54" spans="1:3" x14ac:dyDescent="0.25">
      <c r="A54">
        <v>-3</v>
      </c>
      <c r="B54" t="s">
        <v>1926</v>
      </c>
      <c r="C54" t="s">
        <v>1927</v>
      </c>
    </row>
    <row r="55" spans="1:3" x14ac:dyDescent="0.25">
      <c r="A55">
        <v>-3</v>
      </c>
      <c r="B55" t="s">
        <v>1928</v>
      </c>
      <c r="C55" t="s">
        <v>1929</v>
      </c>
    </row>
    <row r="56" spans="1:3" x14ac:dyDescent="0.25">
      <c r="A56">
        <v>-3</v>
      </c>
      <c r="B56" t="s">
        <v>1930</v>
      </c>
      <c r="C56" t="s">
        <v>1931</v>
      </c>
    </row>
    <row r="57" spans="1:3" x14ac:dyDescent="0.25">
      <c r="A57">
        <v>-3</v>
      </c>
      <c r="B57" t="s">
        <v>1932</v>
      </c>
      <c r="C57" t="s">
        <v>1933</v>
      </c>
    </row>
    <row r="58" spans="1:3" x14ac:dyDescent="0.25">
      <c r="A58">
        <v>-3</v>
      </c>
      <c r="B58" t="s">
        <v>1934</v>
      </c>
      <c r="C58" t="s">
        <v>1935</v>
      </c>
    </row>
    <row r="59" spans="1:3" x14ac:dyDescent="0.25">
      <c r="A59">
        <v>-3</v>
      </c>
      <c r="B59" t="s">
        <v>1936</v>
      </c>
      <c r="C59" t="s">
        <v>1937</v>
      </c>
    </row>
    <row r="60" spans="1:3" x14ac:dyDescent="0.25">
      <c r="A60">
        <v>-2.5</v>
      </c>
      <c r="B60" t="s">
        <v>1938</v>
      </c>
      <c r="C60" t="s">
        <v>1939</v>
      </c>
    </row>
    <row r="61" spans="1:3" x14ac:dyDescent="0.25">
      <c r="A61">
        <v>-2</v>
      </c>
      <c r="B61" t="s">
        <v>1940</v>
      </c>
      <c r="C61" t="s">
        <v>1941</v>
      </c>
    </row>
    <row r="62" spans="1:3" x14ac:dyDescent="0.25">
      <c r="A62">
        <v>-2</v>
      </c>
      <c r="B62" t="s">
        <v>1942</v>
      </c>
      <c r="C62" t="s">
        <v>1943</v>
      </c>
    </row>
    <row r="63" spans="1:3" x14ac:dyDescent="0.25">
      <c r="A63">
        <v>-2</v>
      </c>
      <c r="B63" t="s">
        <v>1944</v>
      </c>
      <c r="C63" t="s">
        <v>1945</v>
      </c>
    </row>
    <row r="64" spans="1:3" x14ac:dyDescent="0.25">
      <c r="A64">
        <v>-2</v>
      </c>
      <c r="B64" t="s">
        <v>1946</v>
      </c>
      <c r="C64" t="s">
        <v>1947</v>
      </c>
    </row>
    <row r="65" spans="1:3" x14ac:dyDescent="0.25">
      <c r="A65">
        <v>-2</v>
      </c>
      <c r="B65" t="s">
        <v>1948</v>
      </c>
      <c r="C65" t="s">
        <v>1949</v>
      </c>
    </row>
    <row r="66" spans="1:3" x14ac:dyDescent="0.25">
      <c r="A66">
        <v>-2</v>
      </c>
      <c r="B66" t="s">
        <v>1950</v>
      </c>
      <c r="C66" t="s">
        <v>1951</v>
      </c>
    </row>
    <row r="67" spans="1:3" x14ac:dyDescent="0.25">
      <c r="A67">
        <v>-1</v>
      </c>
      <c r="B67" t="s">
        <v>1952</v>
      </c>
      <c r="C67" t="s">
        <v>1953</v>
      </c>
    </row>
    <row r="68" spans="1:3" x14ac:dyDescent="0.25">
      <c r="A68">
        <v>-1</v>
      </c>
      <c r="B68" t="s">
        <v>1954</v>
      </c>
      <c r="C68" t="s">
        <v>1955</v>
      </c>
    </row>
    <row r="69" spans="1:3" x14ac:dyDescent="0.25">
      <c r="A69">
        <v>-1</v>
      </c>
      <c r="B69" t="s">
        <v>1956</v>
      </c>
      <c r="C69" t="s">
        <v>1957</v>
      </c>
    </row>
    <row r="70" spans="1:3" x14ac:dyDescent="0.25">
      <c r="A70">
        <v>0</v>
      </c>
      <c r="B70" t="s">
        <v>1958</v>
      </c>
      <c r="C70" t="s">
        <v>1959</v>
      </c>
    </row>
    <row r="71" spans="1:3" x14ac:dyDescent="0.25">
      <c r="A71">
        <v>0</v>
      </c>
      <c r="B71" t="s">
        <v>1960</v>
      </c>
      <c r="C71" t="s">
        <v>1961</v>
      </c>
    </row>
    <row r="72" spans="1:3" x14ac:dyDescent="0.25">
      <c r="A72">
        <v>0</v>
      </c>
      <c r="B72" t="s">
        <v>1962</v>
      </c>
      <c r="C72" t="s">
        <v>1963</v>
      </c>
    </row>
    <row r="73" spans="1:3" x14ac:dyDescent="0.25">
      <c r="A73">
        <v>0</v>
      </c>
      <c r="B73" t="s">
        <v>1964</v>
      </c>
      <c r="C73" t="s">
        <v>1965</v>
      </c>
    </row>
    <row r="74" spans="1:3" x14ac:dyDescent="0.25">
      <c r="A74">
        <v>0</v>
      </c>
      <c r="B74" t="s">
        <v>1966</v>
      </c>
      <c r="C74" t="s">
        <v>1967</v>
      </c>
    </row>
    <row r="75" spans="1:3" x14ac:dyDescent="0.25">
      <c r="A75">
        <v>1</v>
      </c>
      <c r="B75" t="s">
        <v>1968</v>
      </c>
      <c r="C75" t="s">
        <v>1969</v>
      </c>
    </row>
    <row r="76" spans="1:3" x14ac:dyDescent="0.25">
      <c r="A76">
        <v>1</v>
      </c>
      <c r="B76" t="s">
        <v>1970</v>
      </c>
      <c r="C76" t="s">
        <v>1971</v>
      </c>
    </row>
    <row r="77" spans="1:3" x14ac:dyDescent="0.25">
      <c r="A77">
        <v>1</v>
      </c>
      <c r="B77" t="s">
        <v>1972</v>
      </c>
      <c r="C77" t="s">
        <v>1973</v>
      </c>
    </row>
    <row r="78" spans="1:3" x14ac:dyDescent="0.25">
      <c r="A78">
        <v>1</v>
      </c>
      <c r="B78" t="s">
        <v>1974</v>
      </c>
      <c r="C78" t="s">
        <v>1975</v>
      </c>
    </row>
    <row r="79" spans="1:3" x14ac:dyDescent="0.25">
      <c r="A79">
        <v>1</v>
      </c>
      <c r="B79" t="s">
        <v>1976</v>
      </c>
      <c r="C79" t="s">
        <v>1977</v>
      </c>
    </row>
    <row r="80" spans="1:3" x14ac:dyDescent="0.25">
      <c r="A80">
        <v>1</v>
      </c>
      <c r="B80" t="s">
        <v>1978</v>
      </c>
      <c r="C80" t="s">
        <v>1979</v>
      </c>
    </row>
    <row r="81" spans="1:3" x14ac:dyDescent="0.25">
      <c r="A81">
        <v>1</v>
      </c>
      <c r="B81" t="s">
        <v>1980</v>
      </c>
      <c r="C81" t="s">
        <v>1981</v>
      </c>
    </row>
    <row r="82" spans="1:3" x14ac:dyDescent="0.25">
      <c r="A82">
        <v>2</v>
      </c>
      <c r="B82" t="s">
        <v>1982</v>
      </c>
      <c r="C82" t="s">
        <v>1983</v>
      </c>
    </row>
    <row r="83" spans="1:3" x14ac:dyDescent="0.25">
      <c r="A83">
        <v>2</v>
      </c>
      <c r="B83" t="s">
        <v>1984</v>
      </c>
      <c r="C83" t="s">
        <v>1985</v>
      </c>
    </row>
    <row r="84" spans="1:3" x14ac:dyDescent="0.25">
      <c r="A84">
        <v>2</v>
      </c>
      <c r="B84" t="s">
        <v>1986</v>
      </c>
      <c r="C84" t="s">
        <v>1987</v>
      </c>
    </row>
    <row r="85" spans="1:3" x14ac:dyDescent="0.25">
      <c r="A85">
        <v>2</v>
      </c>
      <c r="B85" t="s">
        <v>1988</v>
      </c>
      <c r="C85" t="s">
        <v>1989</v>
      </c>
    </row>
    <row r="86" spans="1:3" x14ac:dyDescent="0.25">
      <c r="A86">
        <v>2</v>
      </c>
      <c r="B86" t="s">
        <v>1974</v>
      </c>
      <c r="C86" t="s">
        <v>1990</v>
      </c>
    </row>
    <row r="87" spans="1:3" x14ac:dyDescent="0.25">
      <c r="A87">
        <v>2</v>
      </c>
      <c r="B87" t="s">
        <v>1991</v>
      </c>
      <c r="C87" t="s">
        <v>1992</v>
      </c>
    </row>
    <row r="88" spans="1:3" x14ac:dyDescent="0.25">
      <c r="A88">
        <v>2</v>
      </c>
      <c r="B88" t="s">
        <v>1993</v>
      </c>
      <c r="C88" t="s">
        <v>1994</v>
      </c>
    </row>
    <row r="89" spans="1:3" x14ac:dyDescent="0.25">
      <c r="A89">
        <v>2</v>
      </c>
      <c r="B89" t="s">
        <v>1995</v>
      </c>
      <c r="C89" t="s">
        <v>1996</v>
      </c>
    </row>
    <row r="90" spans="1:3" x14ac:dyDescent="0.25">
      <c r="A90">
        <v>2</v>
      </c>
      <c r="B90" t="s">
        <v>1997</v>
      </c>
      <c r="C90" t="s">
        <v>1998</v>
      </c>
    </row>
    <row r="91" spans="1:3" x14ac:dyDescent="0.25">
      <c r="A91">
        <v>3</v>
      </c>
      <c r="B91" t="s">
        <v>1888</v>
      </c>
      <c r="C91" t="s">
        <v>1999</v>
      </c>
    </row>
    <row r="92" spans="1:3" x14ac:dyDescent="0.25">
      <c r="A92">
        <v>3</v>
      </c>
      <c r="B92" t="s">
        <v>2000</v>
      </c>
      <c r="C92" t="s">
        <v>2001</v>
      </c>
    </row>
    <row r="93" spans="1:3" x14ac:dyDescent="0.25">
      <c r="A93">
        <v>3</v>
      </c>
      <c r="B93" t="s">
        <v>2002</v>
      </c>
      <c r="C93" t="s">
        <v>2003</v>
      </c>
    </row>
    <row r="94" spans="1:3" x14ac:dyDescent="0.25">
      <c r="A94">
        <v>3</v>
      </c>
      <c r="B94" t="s">
        <v>2004</v>
      </c>
      <c r="C94" t="s">
        <v>2005</v>
      </c>
    </row>
    <row r="95" spans="1:3" x14ac:dyDescent="0.25">
      <c r="A95">
        <v>3</v>
      </c>
      <c r="B95" t="s">
        <v>2006</v>
      </c>
      <c r="C95" t="s">
        <v>2007</v>
      </c>
    </row>
    <row r="96" spans="1:3" x14ac:dyDescent="0.25">
      <c r="A96">
        <v>3</v>
      </c>
      <c r="B96" t="s">
        <v>505</v>
      </c>
      <c r="C96" t="s">
        <v>2008</v>
      </c>
    </row>
    <row r="97" spans="1:3" x14ac:dyDescent="0.25">
      <c r="A97">
        <v>3</v>
      </c>
      <c r="B97" t="s">
        <v>2009</v>
      </c>
      <c r="C97" t="s">
        <v>2010</v>
      </c>
    </row>
    <row r="98" spans="1:3" x14ac:dyDescent="0.25">
      <c r="A98">
        <v>3</v>
      </c>
      <c r="B98" t="s">
        <v>2011</v>
      </c>
      <c r="C98" t="s">
        <v>2012</v>
      </c>
    </row>
    <row r="99" spans="1:3" x14ac:dyDescent="0.25">
      <c r="A99">
        <v>3</v>
      </c>
      <c r="B99" t="s">
        <v>2013</v>
      </c>
      <c r="C99" t="s">
        <v>2014</v>
      </c>
    </row>
    <row r="100" spans="1:3" x14ac:dyDescent="0.25">
      <c r="A100">
        <v>3</v>
      </c>
      <c r="B100" t="s">
        <v>2015</v>
      </c>
      <c r="C100" t="s">
        <v>2016</v>
      </c>
    </row>
    <row r="101" spans="1:3" x14ac:dyDescent="0.25">
      <c r="A101">
        <v>3.5</v>
      </c>
      <c r="B101" t="s">
        <v>2017</v>
      </c>
      <c r="C101" t="s">
        <v>2018</v>
      </c>
    </row>
    <row r="102" spans="1:3" x14ac:dyDescent="0.25">
      <c r="A102">
        <v>4</v>
      </c>
      <c r="B102" t="s">
        <v>1886</v>
      </c>
      <c r="C102" t="s">
        <v>2019</v>
      </c>
    </row>
    <row r="103" spans="1:3" x14ac:dyDescent="0.25">
      <c r="A103">
        <v>4</v>
      </c>
      <c r="B103" t="s">
        <v>2020</v>
      </c>
      <c r="C103" t="s">
        <v>2021</v>
      </c>
    </row>
    <row r="104" spans="1:3" x14ac:dyDescent="0.25">
      <c r="A104">
        <v>4</v>
      </c>
      <c r="B104" t="s">
        <v>2022</v>
      </c>
      <c r="C104" t="s">
        <v>2023</v>
      </c>
    </row>
    <row r="105" spans="1:3" x14ac:dyDescent="0.25">
      <c r="A105">
        <v>4</v>
      </c>
      <c r="B105" t="s">
        <v>1944</v>
      </c>
      <c r="C105" t="s">
        <v>2024</v>
      </c>
    </row>
    <row r="106" spans="1:3" x14ac:dyDescent="0.25">
      <c r="A106">
        <v>4</v>
      </c>
      <c r="B106" t="s">
        <v>2025</v>
      </c>
      <c r="C106" t="s">
        <v>2026</v>
      </c>
    </row>
    <row r="107" spans="1:3" x14ac:dyDescent="0.25">
      <c r="A107">
        <v>4</v>
      </c>
      <c r="B107" t="s">
        <v>2027</v>
      </c>
      <c r="C107" t="s">
        <v>2028</v>
      </c>
    </row>
    <row r="108" spans="1:3" x14ac:dyDescent="0.25">
      <c r="A108">
        <v>4</v>
      </c>
      <c r="B108" t="s">
        <v>2029</v>
      </c>
      <c r="C108" t="s">
        <v>2030</v>
      </c>
    </row>
    <row r="109" spans="1:3" x14ac:dyDescent="0.25">
      <c r="A109">
        <v>4</v>
      </c>
      <c r="B109" t="s">
        <v>2031</v>
      </c>
      <c r="C109" t="s">
        <v>2032</v>
      </c>
    </row>
    <row r="110" spans="1:3" x14ac:dyDescent="0.25">
      <c r="A110">
        <v>4.5</v>
      </c>
      <c r="B110" t="s">
        <v>2033</v>
      </c>
      <c r="C110" t="s">
        <v>2034</v>
      </c>
    </row>
    <row r="111" spans="1:3" x14ac:dyDescent="0.25">
      <c r="A111">
        <v>4.5</v>
      </c>
      <c r="B111" t="s">
        <v>2035</v>
      </c>
      <c r="C111" t="s">
        <v>2036</v>
      </c>
    </row>
    <row r="112" spans="1:3" x14ac:dyDescent="0.25">
      <c r="A112">
        <v>5</v>
      </c>
      <c r="B112" t="s">
        <v>2037</v>
      </c>
      <c r="C112" t="s">
        <v>2038</v>
      </c>
    </row>
    <row r="113" spans="1:3" x14ac:dyDescent="0.25">
      <c r="A113">
        <v>5</v>
      </c>
      <c r="B113" t="s">
        <v>2039</v>
      </c>
      <c r="C113" t="s">
        <v>2040</v>
      </c>
    </row>
    <row r="114" spans="1:3" x14ac:dyDescent="0.25">
      <c r="A114">
        <v>5</v>
      </c>
      <c r="B114" t="s">
        <v>2041</v>
      </c>
      <c r="C114" t="s">
        <v>2042</v>
      </c>
    </row>
    <row r="115" spans="1:3" x14ac:dyDescent="0.25">
      <c r="A115">
        <v>5</v>
      </c>
      <c r="B115" t="s">
        <v>2043</v>
      </c>
      <c r="C115" t="s">
        <v>2044</v>
      </c>
    </row>
    <row r="116" spans="1:3" x14ac:dyDescent="0.25">
      <c r="A116">
        <v>5</v>
      </c>
      <c r="B116" t="s">
        <v>2045</v>
      </c>
      <c r="C116" t="s">
        <v>2046</v>
      </c>
    </row>
    <row r="117" spans="1:3" x14ac:dyDescent="0.25">
      <c r="A117">
        <v>5</v>
      </c>
      <c r="B117" t="s">
        <v>2047</v>
      </c>
      <c r="C117" t="s">
        <v>2048</v>
      </c>
    </row>
    <row r="118" spans="1:3" x14ac:dyDescent="0.25">
      <c r="A118">
        <v>5</v>
      </c>
      <c r="B118" t="s">
        <v>2049</v>
      </c>
      <c r="C118" t="s">
        <v>2050</v>
      </c>
    </row>
    <row r="119" spans="1:3" x14ac:dyDescent="0.25">
      <c r="A119">
        <v>5</v>
      </c>
      <c r="B119" t="s">
        <v>2051</v>
      </c>
      <c r="C119" t="s">
        <v>2052</v>
      </c>
    </row>
    <row r="120" spans="1:3" x14ac:dyDescent="0.25">
      <c r="A120">
        <v>5</v>
      </c>
      <c r="B120" t="s">
        <v>2053</v>
      </c>
      <c r="C120" t="s">
        <v>2054</v>
      </c>
    </row>
    <row r="121" spans="1:3" x14ac:dyDescent="0.25">
      <c r="A121">
        <v>5</v>
      </c>
      <c r="B121" t="s">
        <v>2055</v>
      </c>
      <c r="C121" t="s">
        <v>2056</v>
      </c>
    </row>
    <row r="122" spans="1:3" x14ac:dyDescent="0.25">
      <c r="A122">
        <v>5</v>
      </c>
      <c r="B122" t="s">
        <v>2057</v>
      </c>
      <c r="C122" t="s">
        <v>2058</v>
      </c>
    </row>
    <row r="123" spans="1:3" x14ac:dyDescent="0.25">
      <c r="A123">
        <v>5.5</v>
      </c>
      <c r="B123" t="s">
        <v>1974</v>
      </c>
      <c r="C123" t="s">
        <v>2059</v>
      </c>
    </row>
    <row r="124" spans="1:3" x14ac:dyDescent="0.25">
      <c r="A124">
        <v>5.5</v>
      </c>
      <c r="B124" t="s">
        <v>2060</v>
      </c>
      <c r="C124" t="s">
        <v>2061</v>
      </c>
    </row>
    <row r="125" spans="1:3" x14ac:dyDescent="0.25">
      <c r="A125">
        <v>5.75</v>
      </c>
      <c r="B125" t="s">
        <v>2062</v>
      </c>
      <c r="C125" t="s">
        <v>2063</v>
      </c>
    </row>
    <row r="126" spans="1:3" x14ac:dyDescent="0.25">
      <c r="A126">
        <v>6</v>
      </c>
      <c r="B126" t="s">
        <v>2064</v>
      </c>
      <c r="C126" t="s">
        <v>2065</v>
      </c>
    </row>
    <row r="127" spans="1:3" x14ac:dyDescent="0.25">
      <c r="A127">
        <v>6</v>
      </c>
      <c r="B127" t="s">
        <v>2066</v>
      </c>
      <c r="C127" t="s">
        <v>2067</v>
      </c>
    </row>
    <row r="128" spans="1:3" x14ac:dyDescent="0.25">
      <c r="A128">
        <v>6</v>
      </c>
      <c r="B128" t="s">
        <v>1968</v>
      </c>
      <c r="C128" t="s">
        <v>2068</v>
      </c>
    </row>
    <row r="129" spans="1:3" x14ac:dyDescent="0.25">
      <c r="A129">
        <v>6</v>
      </c>
      <c r="B129" t="s">
        <v>2069</v>
      </c>
      <c r="C129" t="s">
        <v>2070</v>
      </c>
    </row>
    <row r="130" spans="1:3" x14ac:dyDescent="0.25">
      <c r="A130">
        <v>6</v>
      </c>
      <c r="B130" t="s">
        <v>2071</v>
      </c>
      <c r="C130" t="s">
        <v>2072</v>
      </c>
    </row>
    <row r="131" spans="1:3" x14ac:dyDescent="0.25">
      <c r="A131">
        <v>6</v>
      </c>
      <c r="B131" t="s">
        <v>2073</v>
      </c>
      <c r="C131" t="s">
        <v>2074</v>
      </c>
    </row>
    <row r="132" spans="1:3" x14ac:dyDescent="0.25">
      <c r="A132">
        <v>6</v>
      </c>
      <c r="B132" t="s">
        <v>2075</v>
      </c>
      <c r="C132" t="s">
        <v>2076</v>
      </c>
    </row>
    <row r="133" spans="1:3" x14ac:dyDescent="0.25">
      <c r="A133">
        <v>6.5</v>
      </c>
      <c r="B133" t="s">
        <v>2077</v>
      </c>
      <c r="C133" t="s">
        <v>2078</v>
      </c>
    </row>
    <row r="134" spans="1:3" x14ac:dyDescent="0.25">
      <c r="A134">
        <v>6.5</v>
      </c>
      <c r="B134" t="s">
        <v>2079</v>
      </c>
      <c r="C134" t="s">
        <v>2080</v>
      </c>
    </row>
    <row r="135" spans="1:3" x14ac:dyDescent="0.25">
      <c r="A135">
        <v>7</v>
      </c>
      <c r="B135" t="s">
        <v>2081</v>
      </c>
      <c r="C135" t="s">
        <v>2082</v>
      </c>
    </row>
    <row r="136" spans="1:3" x14ac:dyDescent="0.25">
      <c r="A136">
        <v>7</v>
      </c>
      <c r="B136" t="s">
        <v>2083</v>
      </c>
      <c r="C136" t="s">
        <v>2084</v>
      </c>
    </row>
    <row r="137" spans="1:3" x14ac:dyDescent="0.25">
      <c r="A137">
        <v>7</v>
      </c>
      <c r="B137" t="s">
        <v>2085</v>
      </c>
      <c r="C137" t="s">
        <v>2086</v>
      </c>
    </row>
    <row r="138" spans="1:3" x14ac:dyDescent="0.25">
      <c r="A138">
        <v>7</v>
      </c>
      <c r="B138" t="s">
        <v>2087</v>
      </c>
      <c r="C138" t="s">
        <v>2088</v>
      </c>
    </row>
    <row r="139" spans="1:3" x14ac:dyDescent="0.25">
      <c r="A139">
        <v>7</v>
      </c>
      <c r="B139" t="s">
        <v>2089</v>
      </c>
      <c r="C139" t="s">
        <v>2090</v>
      </c>
    </row>
    <row r="140" spans="1:3" x14ac:dyDescent="0.25">
      <c r="A140">
        <v>7</v>
      </c>
      <c r="B140" t="s">
        <v>2091</v>
      </c>
      <c r="C140" t="s">
        <v>2092</v>
      </c>
    </row>
    <row r="141" spans="1:3" x14ac:dyDescent="0.25">
      <c r="A141">
        <v>7</v>
      </c>
      <c r="B141" t="s">
        <v>1060</v>
      </c>
      <c r="C141" t="s">
        <v>2093</v>
      </c>
    </row>
    <row r="142" spans="1:3" x14ac:dyDescent="0.25">
      <c r="A142">
        <v>7</v>
      </c>
      <c r="B142" t="s">
        <v>2094</v>
      </c>
      <c r="C142" t="s">
        <v>2095</v>
      </c>
    </row>
    <row r="143" spans="1:3" x14ac:dyDescent="0.25">
      <c r="A143">
        <v>8</v>
      </c>
      <c r="B143" t="s">
        <v>1872</v>
      </c>
      <c r="C143" t="s">
        <v>2096</v>
      </c>
    </row>
    <row r="144" spans="1:3" x14ac:dyDescent="0.25">
      <c r="A144">
        <v>8</v>
      </c>
      <c r="B144" t="s">
        <v>2097</v>
      </c>
      <c r="C144" t="s">
        <v>2098</v>
      </c>
    </row>
    <row r="145" spans="1:3" x14ac:dyDescent="0.25">
      <c r="A145">
        <v>8</v>
      </c>
      <c r="B145" t="s">
        <v>2099</v>
      </c>
      <c r="C145" t="s">
        <v>2100</v>
      </c>
    </row>
    <row r="146" spans="1:3" x14ac:dyDescent="0.25">
      <c r="A146">
        <v>8</v>
      </c>
      <c r="B146" t="s">
        <v>2101</v>
      </c>
      <c r="C146" t="s">
        <v>2102</v>
      </c>
    </row>
    <row r="147" spans="1:3" x14ac:dyDescent="0.25">
      <c r="A147">
        <v>8</v>
      </c>
      <c r="B147" t="s">
        <v>1864</v>
      </c>
      <c r="C147" t="s">
        <v>2103</v>
      </c>
    </row>
    <row r="148" spans="1:3" x14ac:dyDescent="0.25">
      <c r="A148">
        <v>8</v>
      </c>
      <c r="B148" t="s">
        <v>2104</v>
      </c>
      <c r="C148" t="s">
        <v>2105</v>
      </c>
    </row>
    <row r="149" spans="1:3" x14ac:dyDescent="0.25">
      <c r="A149">
        <v>8</v>
      </c>
      <c r="B149" t="s">
        <v>2106</v>
      </c>
      <c r="C149" t="s">
        <v>2107</v>
      </c>
    </row>
    <row r="150" spans="1:3" x14ac:dyDescent="0.25">
      <c r="A150">
        <v>8</v>
      </c>
      <c r="B150" t="s">
        <v>2108</v>
      </c>
      <c r="C150" t="s">
        <v>2109</v>
      </c>
    </row>
    <row r="151" spans="1:3" x14ac:dyDescent="0.25">
      <c r="A151">
        <v>8</v>
      </c>
      <c r="B151" t="s">
        <v>1860</v>
      </c>
      <c r="C151" t="s">
        <v>2110</v>
      </c>
    </row>
    <row r="152" spans="1:3" x14ac:dyDescent="0.25">
      <c r="A152">
        <v>8</v>
      </c>
      <c r="B152" t="s">
        <v>828</v>
      </c>
      <c r="C152" t="s">
        <v>2111</v>
      </c>
    </row>
    <row r="153" spans="1:3" x14ac:dyDescent="0.25">
      <c r="A153">
        <v>8</v>
      </c>
      <c r="B153" t="s">
        <v>2112</v>
      </c>
      <c r="C153" t="s">
        <v>2113</v>
      </c>
    </row>
    <row r="154" spans="1:3" x14ac:dyDescent="0.25">
      <c r="A154">
        <v>8</v>
      </c>
      <c r="B154" t="s">
        <v>2114</v>
      </c>
      <c r="C154" t="s">
        <v>2115</v>
      </c>
    </row>
    <row r="155" spans="1:3" x14ac:dyDescent="0.25">
      <c r="A155">
        <v>8</v>
      </c>
      <c r="B155" t="s">
        <v>2116</v>
      </c>
      <c r="C155" t="s">
        <v>2117</v>
      </c>
    </row>
    <row r="156" spans="1:3" x14ac:dyDescent="0.25">
      <c r="A156">
        <v>8</v>
      </c>
      <c r="B156" t="s">
        <v>1833</v>
      </c>
      <c r="C156" t="s">
        <v>2118</v>
      </c>
    </row>
    <row r="157" spans="1:3" x14ac:dyDescent="0.25">
      <c r="A157">
        <v>8</v>
      </c>
      <c r="B157" t="s">
        <v>2119</v>
      </c>
      <c r="C157" t="s">
        <v>2120</v>
      </c>
    </row>
    <row r="158" spans="1:3" x14ac:dyDescent="0.25">
      <c r="A158">
        <v>8</v>
      </c>
      <c r="B158" t="s">
        <v>2121</v>
      </c>
      <c r="C158" t="s">
        <v>2122</v>
      </c>
    </row>
    <row r="159" spans="1:3" x14ac:dyDescent="0.25">
      <c r="A159">
        <v>8</v>
      </c>
      <c r="B159" t="s">
        <v>2123</v>
      </c>
      <c r="C159" t="s">
        <v>2124</v>
      </c>
    </row>
    <row r="160" spans="1:3" x14ac:dyDescent="0.25">
      <c r="A160">
        <v>8</v>
      </c>
      <c r="B160" t="s">
        <v>2125</v>
      </c>
      <c r="C160" t="s">
        <v>2126</v>
      </c>
    </row>
    <row r="161" spans="1:3" x14ac:dyDescent="0.25">
      <c r="A161">
        <v>8.75</v>
      </c>
      <c r="B161" t="s">
        <v>2127</v>
      </c>
      <c r="C161" t="s">
        <v>2128</v>
      </c>
    </row>
    <row r="162" spans="1:3" x14ac:dyDescent="0.25">
      <c r="A162">
        <v>8.75</v>
      </c>
      <c r="B162" t="s">
        <v>2129</v>
      </c>
      <c r="C162" t="s">
        <v>2130</v>
      </c>
    </row>
    <row r="163" spans="1:3" x14ac:dyDescent="0.25">
      <c r="A163">
        <v>9</v>
      </c>
      <c r="B163" t="s">
        <v>2131</v>
      </c>
      <c r="C163" t="s">
        <v>2132</v>
      </c>
    </row>
    <row r="164" spans="1:3" x14ac:dyDescent="0.25">
      <c r="A164">
        <v>9</v>
      </c>
      <c r="B164" t="s">
        <v>2133</v>
      </c>
      <c r="C164" t="s">
        <v>2134</v>
      </c>
    </row>
    <row r="165" spans="1:3" x14ac:dyDescent="0.25">
      <c r="A165">
        <v>9</v>
      </c>
      <c r="B165" t="s">
        <v>2135</v>
      </c>
      <c r="C165" t="s">
        <v>2136</v>
      </c>
    </row>
    <row r="166" spans="1:3" x14ac:dyDescent="0.25">
      <c r="A166">
        <v>9</v>
      </c>
      <c r="B166" t="s">
        <v>2137</v>
      </c>
      <c r="C166" t="s">
        <v>2138</v>
      </c>
    </row>
    <row r="167" spans="1:3" x14ac:dyDescent="0.25">
      <c r="A167">
        <v>9</v>
      </c>
      <c r="B167" t="s">
        <v>2139</v>
      </c>
      <c r="C167" t="s">
        <v>2140</v>
      </c>
    </row>
    <row r="168" spans="1:3" x14ac:dyDescent="0.25">
      <c r="A168">
        <v>9</v>
      </c>
      <c r="B168" t="s">
        <v>2141</v>
      </c>
      <c r="C168" t="s">
        <v>2142</v>
      </c>
    </row>
    <row r="169" spans="1:3" x14ac:dyDescent="0.25">
      <c r="A169">
        <v>9</v>
      </c>
      <c r="B169" t="s">
        <v>2143</v>
      </c>
      <c r="C169" t="s">
        <v>2144</v>
      </c>
    </row>
    <row r="170" spans="1:3" x14ac:dyDescent="0.25">
      <c r="A170">
        <v>9</v>
      </c>
      <c r="B170" t="s">
        <v>2145</v>
      </c>
      <c r="C170" t="s">
        <v>2146</v>
      </c>
    </row>
    <row r="171" spans="1:3" x14ac:dyDescent="0.25">
      <c r="A171">
        <v>9.5</v>
      </c>
      <c r="B171" t="s">
        <v>2147</v>
      </c>
      <c r="C171" t="s">
        <v>2148</v>
      </c>
    </row>
    <row r="172" spans="1:3" x14ac:dyDescent="0.25">
      <c r="A172">
        <v>10</v>
      </c>
      <c r="B172" t="s">
        <v>2149</v>
      </c>
      <c r="C172" t="s">
        <v>2150</v>
      </c>
    </row>
    <row r="173" spans="1:3" x14ac:dyDescent="0.25">
      <c r="A173">
        <v>10</v>
      </c>
      <c r="B173" t="s">
        <v>2151</v>
      </c>
      <c r="C173" t="s">
        <v>2152</v>
      </c>
    </row>
    <row r="174" spans="1:3" x14ac:dyDescent="0.25">
      <c r="A174">
        <v>10</v>
      </c>
      <c r="B174" t="s">
        <v>2153</v>
      </c>
      <c r="C174" t="s">
        <v>2154</v>
      </c>
    </row>
    <row r="175" spans="1:3" x14ac:dyDescent="0.25">
      <c r="A175">
        <v>10</v>
      </c>
      <c r="B175" t="s">
        <v>2155</v>
      </c>
      <c r="C175" t="s">
        <v>2156</v>
      </c>
    </row>
    <row r="176" spans="1:3" x14ac:dyDescent="0.25">
      <c r="A176">
        <v>10</v>
      </c>
      <c r="B176" t="s">
        <v>2157</v>
      </c>
      <c r="C176" t="s">
        <v>2158</v>
      </c>
    </row>
    <row r="177" spans="1:3" x14ac:dyDescent="0.25">
      <c r="A177">
        <v>10</v>
      </c>
      <c r="B177" t="s">
        <v>2159</v>
      </c>
      <c r="C177" t="s">
        <v>2160</v>
      </c>
    </row>
    <row r="178" spans="1:3" x14ac:dyDescent="0.25">
      <c r="A178">
        <v>10.5</v>
      </c>
      <c r="B178" t="s">
        <v>2161</v>
      </c>
      <c r="C178" t="s">
        <v>2162</v>
      </c>
    </row>
    <row r="179" spans="1:3" x14ac:dyDescent="0.25">
      <c r="A179">
        <v>10.5</v>
      </c>
      <c r="B179" t="s">
        <v>2163</v>
      </c>
      <c r="C179" t="s">
        <v>2164</v>
      </c>
    </row>
    <row r="180" spans="1:3" x14ac:dyDescent="0.25">
      <c r="A180">
        <v>11</v>
      </c>
      <c r="B180" t="s">
        <v>2165</v>
      </c>
      <c r="C180" t="s">
        <v>2166</v>
      </c>
    </row>
    <row r="181" spans="1:3" x14ac:dyDescent="0.25">
      <c r="A181">
        <v>11</v>
      </c>
      <c r="B181" t="s">
        <v>1968</v>
      </c>
      <c r="C181" t="s">
        <v>2167</v>
      </c>
    </row>
    <row r="182" spans="1:3" x14ac:dyDescent="0.25">
      <c r="A182">
        <v>11</v>
      </c>
      <c r="B182" t="s">
        <v>2168</v>
      </c>
      <c r="C182" t="s">
        <v>2169</v>
      </c>
    </row>
    <row r="183" spans="1:3" x14ac:dyDescent="0.25">
      <c r="A183">
        <v>11</v>
      </c>
      <c r="B183" t="s">
        <v>2163</v>
      </c>
      <c r="C183" t="s">
        <v>2170</v>
      </c>
    </row>
    <row r="184" spans="1:3" x14ac:dyDescent="0.25">
      <c r="A184">
        <v>11</v>
      </c>
      <c r="B184" t="s">
        <v>2171</v>
      </c>
      <c r="C184" t="s">
        <v>2172</v>
      </c>
    </row>
    <row r="185" spans="1:3" x14ac:dyDescent="0.25">
      <c r="A185">
        <v>11</v>
      </c>
      <c r="B185" t="s">
        <v>2173</v>
      </c>
      <c r="C185" t="s">
        <v>2174</v>
      </c>
    </row>
    <row r="186" spans="1:3" x14ac:dyDescent="0.25">
      <c r="A186">
        <v>11</v>
      </c>
      <c r="B186" t="s">
        <v>2175</v>
      </c>
      <c r="C186" t="s">
        <v>2176</v>
      </c>
    </row>
    <row r="187" spans="1:3" x14ac:dyDescent="0.25">
      <c r="A187">
        <v>11</v>
      </c>
      <c r="B187" t="s">
        <v>2177</v>
      </c>
      <c r="C187" t="s">
        <v>2178</v>
      </c>
    </row>
    <row r="188" spans="1:3" x14ac:dyDescent="0.25">
      <c r="A188">
        <v>11</v>
      </c>
      <c r="B188" t="s">
        <v>2179</v>
      </c>
      <c r="C188" t="s">
        <v>2180</v>
      </c>
    </row>
    <row r="189" spans="1:3" x14ac:dyDescent="0.25">
      <c r="A189">
        <v>11</v>
      </c>
      <c r="B189" t="s">
        <v>2181</v>
      </c>
      <c r="C189" t="s">
        <v>2182</v>
      </c>
    </row>
    <row r="190" spans="1:3" x14ac:dyDescent="0.25">
      <c r="A190">
        <v>11</v>
      </c>
      <c r="B190" t="s">
        <v>2183</v>
      </c>
      <c r="C190" t="s">
        <v>2184</v>
      </c>
    </row>
    <row r="191" spans="1:3" x14ac:dyDescent="0.25">
      <c r="A191">
        <v>11</v>
      </c>
      <c r="B191" t="s">
        <v>1115</v>
      </c>
      <c r="C191" t="s">
        <v>2185</v>
      </c>
    </row>
    <row r="192" spans="1:3" x14ac:dyDescent="0.25">
      <c r="A192">
        <v>12</v>
      </c>
      <c r="B192" t="s">
        <v>2186</v>
      </c>
      <c r="C192" t="s">
        <v>2187</v>
      </c>
    </row>
    <row r="193" spans="1:3" x14ac:dyDescent="0.25">
      <c r="A193">
        <v>12</v>
      </c>
      <c r="B193" t="s">
        <v>2188</v>
      </c>
      <c r="C193" t="s">
        <v>2189</v>
      </c>
    </row>
    <row r="194" spans="1:3" x14ac:dyDescent="0.25">
      <c r="A194">
        <v>12</v>
      </c>
      <c r="B194" t="s">
        <v>2190</v>
      </c>
      <c r="C194" t="s">
        <v>2191</v>
      </c>
    </row>
    <row r="195" spans="1:3" x14ac:dyDescent="0.25">
      <c r="A195">
        <v>12</v>
      </c>
      <c r="B195" t="s">
        <v>2192</v>
      </c>
      <c r="C195" t="s">
        <v>2193</v>
      </c>
    </row>
    <row r="196" spans="1:3" x14ac:dyDescent="0.25">
      <c r="A196">
        <v>12</v>
      </c>
      <c r="B196" t="s">
        <v>2194</v>
      </c>
      <c r="C196" t="s">
        <v>2195</v>
      </c>
    </row>
    <row r="197" spans="1:3" x14ac:dyDescent="0.25">
      <c r="A197">
        <v>12</v>
      </c>
      <c r="B197" t="s">
        <v>2196</v>
      </c>
      <c r="C197" t="s">
        <v>2197</v>
      </c>
    </row>
    <row r="198" spans="1:3" x14ac:dyDescent="0.25">
      <c r="A198">
        <v>12</v>
      </c>
      <c r="B198" t="s">
        <v>2198</v>
      </c>
      <c r="C198" t="s">
        <v>2199</v>
      </c>
    </row>
    <row r="199" spans="1:3" x14ac:dyDescent="0.25">
      <c r="A199">
        <v>12</v>
      </c>
      <c r="B199" t="s">
        <v>2200</v>
      </c>
      <c r="C199" t="s">
        <v>2201</v>
      </c>
    </row>
    <row r="200" spans="1:3" x14ac:dyDescent="0.25">
      <c r="A200">
        <v>12</v>
      </c>
      <c r="B200" t="s">
        <v>2202</v>
      </c>
      <c r="C200" t="s">
        <v>2203</v>
      </c>
    </row>
    <row r="201" spans="1:3" x14ac:dyDescent="0.25">
      <c r="A201">
        <v>12.75</v>
      </c>
      <c r="B201" t="s">
        <v>2204</v>
      </c>
      <c r="C201" t="s">
        <v>2205</v>
      </c>
    </row>
    <row r="202" spans="1:3" x14ac:dyDescent="0.25">
      <c r="A202">
        <v>13</v>
      </c>
      <c r="B202" t="s">
        <v>2206</v>
      </c>
      <c r="C202" t="s">
        <v>2207</v>
      </c>
    </row>
    <row r="203" spans="1:3" x14ac:dyDescent="0.25">
      <c r="A203">
        <v>13</v>
      </c>
      <c r="B203" t="s">
        <v>2208</v>
      </c>
      <c r="C203" t="s">
        <v>2209</v>
      </c>
    </row>
    <row r="204" spans="1:3" x14ac:dyDescent="0.25">
      <c r="A204">
        <v>13</v>
      </c>
      <c r="B204" t="s">
        <v>2210</v>
      </c>
      <c r="C204" t="s">
        <v>2211</v>
      </c>
    </row>
    <row r="205" spans="1:3" x14ac:dyDescent="0.25">
      <c r="A205">
        <v>13</v>
      </c>
      <c r="B205" t="s">
        <v>2212</v>
      </c>
      <c r="C205" t="s">
        <v>2213</v>
      </c>
    </row>
    <row r="206" spans="1:3" x14ac:dyDescent="0.25">
      <c r="A206">
        <v>13.75</v>
      </c>
      <c r="B206" t="s">
        <v>2214</v>
      </c>
      <c r="C206" t="s">
        <v>2215</v>
      </c>
    </row>
    <row r="207" spans="1:3" x14ac:dyDescent="0.25">
      <c r="A207">
        <v>14</v>
      </c>
      <c r="B207" t="s">
        <v>2216</v>
      </c>
      <c r="C207" t="s">
        <v>2217</v>
      </c>
    </row>
  </sheetData>
  <autoFilter ref="A1:L1" xr:uid="{20B523AF-2D08-4200-8D52-F30D9206FBE6}">
    <sortState xmlns:xlrd2="http://schemas.microsoft.com/office/spreadsheetml/2017/richdata2" ref="A2:L207">
      <sortCondition ref="A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F006F-09CB-4518-A6A0-B4628B5EF033}">
  <dimension ref="A1:D250"/>
  <sheetViews>
    <sheetView topLeftCell="A62" workbookViewId="0">
      <selection activeCell="A77" sqref="A77"/>
    </sheetView>
  </sheetViews>
  <sheetFormatPr defaultRowHeight="15" x14ac:dyDescent="0.25"/>
  <cols>
    <col min="1" max="1" width="37.85546875" customWidth="1"/>
    <col min="2" max="3" width="12.5703125" bestFit="1" customWidth="1"/>
    <col min="4" max="4" width="8.5703125" bestFit="1" customWidth="1"/>
    <col min="9" max="9" width="10" bestFit="1" customWidth="1"/>
  </cols>
  <sheetData>
    <row r="1" spans="1:4" x14ac:dyDescent="0.25">
      <c r="A1" t="s">
        <v>3</v>
      </c>
      <c r="B1" t="s">
        <v>409</v>
      </c>
      <c r="C1" t="s">
        <v>410</v>
      </c>
      <c r="D1" t="s">
        <v>411</v>
      </c>
    </row>
    <row r="2" spans="1:4" x14ac:dyDescent="0.25">
      <c r="A2" t="s">
        <v>412</v>
      </c>
      <c r="B2" t="s">
        <v>413</v>
      </c>
      <c r="C2" t="s">
        <v>414</v>
      </c>
      <c r="D2">
        <v>4</v>
      </c>
    </row>
    <row r="3" spans="1:4" x14ac:dyDescent="0.25">
      <c r="A3" t="s">
        <v>415</v>
      </c>
      <c r="B3" t="s">
        <v>416</v>
      </c>
      <c r="C3" t="s">
        <v>417</v>
      </c>
      <c r="D3">
        <v>8</v>
      </c>
    </row>
    <row r="4" spans="1:4" x14ac:dyDescent="0.25">
      <c r="A4" t="s">
        <v>418</v>
      </c>
      <c r="B4" t="s">
        <v>419</v>
      </c>
      <c r="C4" t="s">
        <v>420</v>
      </c>
      <c r="D4">
        <v>12</v>
      </c>
    </row>
    <row r="5" spans="1:4" x14ac:dyDescent="0.25">
      <c r="A5" t="s">
        <v>421</v>
      </c>
      <c r="B5" t="s">
        <v>422</v>
      </c>
      <c r="C5" t="s">
        <v>423</v>
      </c>
      <c r="D5">
        <v>16</v>
      </c>
    </row>
    <row r="6" spans="1:4" x14ac:dyDescent="0.25">
      <c r="A6" t="s">
        <v>424</v>
      </c>
      <c r="B6" t="s">
        <v>425</v>
      </c>
      <c r="C6" t="s">
        <v>426</v>
      </c>
      <c r="D6">
        <v>20</v>
      </c>
    </row>
    <row r="7" spans="1:4" x14ac:dyDescent="0.25">
      <c r="A7" t="s">
        <v>427</v>
      </c>
      <c r="B7" t="s">
        <v>428</v>
      </c>
      <c r="C7" t="s">
        <v>429</v>
      </c>
      <c r="D7">
        <v>24</v>
      </c>
    </row>
    <row r="8" spans="1:4" x14ac:dyDescent="0.25">
      <c r="A8" t="s">
        <v>430</v>
      </c>
      <c r="B8" t="s">
        <v>431</v>
      </c>
      <c r="C8" t="s">
        <v>432</v>
      </c>
      <c r="D8">
        <v>660</v>
      </c>
    </row>
    <row r="9" spans="1:4" x14ac:dyDescent="0.25">
      <c r="A9" t="s">
        <v>433</v>
      </c>
      <c r="B9" t="s">
        <v>434</v>
      </c>
      <c r="C9" t="s">
        <v>435</v>
      </c>
      <c r="D9">
        <v>10</v>
      </c>
    </row>
    <row r="10" spans="1:4" x14ac:dyDescent="0.25">
      <c r="A10" t="s">
        <v>436</v>
      </c>
      <c r="B10" t="s">
        <v>437</v>
      </c>
      <c r="C10" t="s">
        <v>438</v>
      </c>
      <c r="D10">
        <v>28</v>
      </c>
    </row>
    <row r="11" spans="1:4" x14ac:dyDescent="0.25">
      <c r="A11" t="s">
        <v>439</v>
      </c>
      <c r="B11" t="s">
        <v>440</v>
      </c>
      <c r="C11" t="s">
        <v>441</v>
      </c>
      <c r="D11">
        <v>32</v>
      </c>
    </row>
    <row r="12" spans="1:4" x14ac:dyDescent="0.25">
      <c r="A12" t="s">
        <v>442</v>
      </c>
      <c r="B12" t="s">
        <v>443</v>
      </c>
      <c r="C12" t="s">
        <v>444</v>
      </c>
      <c r="D12">
        <v>51</v>
      </c>
    </row>
    <row r="13" spans="1:4" x14ac:dyDescent="0.25">
      <c r="A13" t="s">
        <v>445</v>
      </c>
      <c r="B13" t="s">
        <v>446</v>
      </c>
      <c r="C13" t="s">
        <v>447</v>
      </c>
      <c r="D13">
        <v>533</v>
      </c>
    </row>
    <row r="14" spans="1:4" x14ac:dyDescent="0.25">
      <c r="A14" t="s">
        <v>100</v>
      </c>
      <c r="B14" t="s">
        <v>448</v>
      </c>
      <c r="C14" t="s">
        <v>449</v>
      </c>
      <c r="D14">
        <v>36</v>
      </c>
    </row>
    <row r="15" spans="1:4" x14ac:dyDescent="0.25">
      <c r="A15" t="s">
        <v>450</v>
      </c>
      <c r="B15" t="s">
        <v>451</v>
      </c>
      <c r="C15" t="s">
        <v>452</v>
      </c>
      <c r="D15">
        <v>40</v>
      </c>
    </row>
    <row r="16" spans="1:4" x14ac:dyDescent="0.25">
      <c r="A16" t="s">
        <v>453</v>
      </c>
      <c r="B16" t="s">
        <v>454</v>
      </c>
      <c r="C16" t="s">
        <v>455</v>
      </c>
      <c r="D16">
        <v>31</v>
      </c>
    </row>
    <row r="17" spans="1:4" x14ac:dyDescent="0.25">
      <c r="A17" t="s">
        <v>456</v>
      </c>
      <c r="B17" t="s">
        <v>457</v>
      </c>
      <c r="C17" t="s">
        <v>458</v>
      </c>
      <c r="D17">
        <v>44</v>
      </c>
    </row>
    <row r="18" spans="1:4" x14ac:dyDescent="0.25">
      <c r="A18" t="s">
        <v>459</v>
      </c>
      <c r="B18" t="s">
        <v>460</v>
      </c>
      <c r="C18" t="s">
        <v>461</v>
      </c>
      <c r="D18">
        <v>48</v>
      </c>
    </row>
    <row r="19" spans="1:4" x14ac:dyDescent="0.25">
      <c r="A19" t="s">
        <v>462</v>
      </c>
      <c r="B19" t="s">
        <v>463</v>
      </c>
      <c r="C19" t="s">
        <v>464</v>
      </c>
      <c r="D19">
        <v>50</v>
      </c>
    </row>
    <row r="20" spans="1:4" x14ac:dyDescent="0.25">
      <c r="A20" t="s">
        <v>465</v>
      </c>
      <c r="B20" t="s">
        <v>466</v>
      </c>
      <c r="C20" t="s">
        <v>467</v>
      </c>
      <c r="D20">
        <v>52</v>
      </c>
    </row>
    <row r="21" spans="1:4" x14ac:dyDescent="0.25">
      <c r="A21" t="s">
        <v>468</v>
      </c>
      <c r="B21" t="s">
        <v>469</v>
      </c>
      <c r="C21" t="s">
        <v>470</v>
      </c>
      <c r="D21">
        <v>112</v>
      </c>
    </row>
    <row r="22" spans="1:4" x14ac:dyDescent="0.25">
      <c r="A22" t="s">
        <v>471</v>
      </c>
      <c r="B22" t="s">
        <v>472</v>
      </c>
      <c r="C22" t="s">
        <v>473</v>
      </c>
      <c r="D22">
        <v>56</v>
      </c>
    </row>
    <row r="23" spans="1:4" x14ac:dyDescent="0.25">
      <c r="A23" t="s">
        <v>474</v>
      </c>
      <c r="B23" t="s">
        <v>475</v>
      </c>
      <c r="C23" t="s">
        <v>476</v>
      </c>
      <c r="D23">
        <v>84</v>
      </c>
    </row>
    <row r="24" spans="1:4" x14ac:dyDescent="0.25">
      <c r="A24" t="s">
        <v>477</v>
      </c>
      <c r="B24" t="s">
        <v>478</v>
      </c>
      <c r="C24" t="s">
        <v>479</v>
      </c>
      <c r="D24">
        <v>204</v>
      </c>
    </row>
    <row r="25" spans="1:4" x14ac:dyDescent="0.25">
      <c r="A25" t="s">
        <v>480</v>
      </c>
      <c r="B25" t="s">
        <v>481</v>
      </c>
      <c r="C25" t="s">
        <v>482</v>
      </c>
      <c r="D25">
        <v>60</v>
      </c>
    </row>
    <row r="26" spans="1:4" x14ac:dyDescent="0.25">
      <c r="A26" t="s">
        <v>483</v>
      </c>
      <c r="B26" t="s">
        <v>484</v>
      </c>
      <c r="C26" t="s">
        <v>485</v>
      </c>
      <c r="D26">
        <v>64</v>
      </c>
    </row>
    <row r="27" spans="1:4" x14ac:dyDescent="0.25">
      <c r="A27" t="s">
        <v>486</v>
      </c>
      <c r="B27" t="s">
        <v>487</v>
      </c>
      <c r="C27" t="s">
        <v>488</v>
      </c>
      <c r="D27">
        <v>68</v>
      </c>
    </row>
    <row r="28" spans="1:4" x14ac:dyDescent="0.25">
      <c r="A28" t="s">
        <v>489</v>
      </c>
      <c r="B28" t="s">
        <v>490</v>
      </c>
      <c r="C28" t="s">
        <v>491</v>
      </c>
      <c r="D28">
        <v>535</v>
      </c>
    </row>
    <row r="29" spans="1:4" x14ac:dyDescent="0.25">
      <c r="A29" t="s">
        <v>492</v>
      </c>
      <c r="B29" t="s">
        <v>493</v>
      </c>
      <c r="C29" t="s">
        <v>494</v>
      </c>
      <c r="D29">
        <v>70</v>
      </c>
    </row>
    <row r="30" spans="1:4" x14ac:dyDescent="0.25">
      <c r="A30" t="s">
        <v>495</v>
      </c>
      <c r="B30" t="s">
        <v>496</v>
      </c>
      <c r="C30" t="s">
        <v>497</v>
      </c>
      <c r="D30">
        <v>72</v>
      </c>
    </row>
    <row r="31" spans="1:4" x14ac:dyDescent="0.25">
      <c r="A31" t="s">
        <v>498</v>
      </c>
      <c r="B31" t="s">
        <v>499</v>
      </c>
      <c r="C31" t="s">
        <v>500</v>
      </c>
      <c r="D31">
        <v>74</v>
      </c>
    </row>
    <row r="32" spans="1:4" x14ac:dyDescent="0.25">
      <c r="A32" t="s">
        <v>71</v>
      </c>
      <c r="B32" t="s">
        <v>501</v>
      </c>
      <c r="C32" t="s">
        <v>502</v>
      </c>
      <c r="D32">
        <v>76</v>
      </c>
    </row>
    <row r="33" spans="1:4" x14ac:dyDescent="0.25">
      <c r="A33" t="s">
        <v>503</v>
      </c>
      <c r="B33" t="s">
        <v>504</v>
      </c>
      <c r="C33" t="s">
        <v>505</v>
      </c>
      <c r="D33">
        <v>86</v>
      </c>
    </row>
    <row r="34" spans="1:4" x14ac:dyDescent="0.25">
      <c r="A34" t="s">
        <v>506</v>
      </c>
      <c r="B34" t="s">
        <v>507</v>
      </c>
      <c r="C34" t="s">
        <v>508</v>
      </c>
      <c r="D34">
        <v>96</v>
      </c>
    </row>
    <row r="35" spans="1:4" x14ac:dyDescent="0.25">
      <c r="A35" t="s">
        <v>509</v>
      </c>
      <c r="B35" t="s">
        <v>510</v>
      </c>
      <c r="C35" t="s">
        <v>511</v>
      </c>
      <c r="D35">
        <v>100</v>
      </c>
    </row>
    <row r="36" spans="1:4" x14ac:dyDescent="0.25">
      <c r="A36" t="s">
        <v>512</v>
      </c>
      <c r="B36" t="s">
        <v>513</v>
      </c>
      <c r="C36" t="s">
        <v>514</v>
      </c>
      <c r="D36">
        <v>854</v>
      </c>
    </row>
    <row r="37" spans="1:4" x14ac:dyDescent="0.25">
      <c r="A37" t="s">
        <v>515</v>
      </c>
      <c r="B37" t="s">
        <v>516</v>
      </c>
      <c r="C37" t="s">
        <v>517</v>
      </c>
      <c r="D37">
        <v>108</v>
      </c>
    </row>
    <row r="38" spans="1:4" x14ac:dyDescent="0.25">
      <c r="A38" t="s">
        <v>518</v>
      </c>
      <c r="B38" t="s">
        <v>519</v>
      </c>
      <c r="C38" t="s">
        <v>520</v>
      </c>
      <c r="D38">
        <v>132</v>
      </c>
    </row>
    <row r="39" spans="1:4" x14ac:dyDescent="0.25">
      <c r="A39" t="s">
        <v>521</v>
      </c>
      <c r="B39" t="s">
        <v>522</v>
      </c>
      <c r="C39" t="s">
        <v>523</v>
      </c>
      <c r="D39">
        <v>116</v>
      </c>
    </row>
    <row r="40" spans="1:4" x14ac:dyDescent="0.25">
      <c r="A40" t="s">
        <v>524</v>
      </c>
      <c r="B40" t="s">
        <v>525</v>
      </c>
      <c r="C40" t="s">
        <v>526</v>
      </c>
      <c r="D40">
        <v>120</v>
      </c>
    </row>
    <row r="41" spans="1:4" x14ac:dyDescent="0.25">
      <c r="A41" t="s">
        <v>103</v>
      </c>
      <c r="B41" t="s">
        <v>527</v>
      </c>
      <c r="C41" t="s">
        <v>528</v>
      </c>
      <c r="D41">
        <v>124</v>
      </c>
    </row>
    <row r="42" spans="1:4" x14ac:dyDescent="0.25">
      <c r="A42" t="s">
        <v>529</v>
      </c>
      <c r="B42" t="s">
        <v>530</v>
      </c>
      <c r="C42" t="s">
        <v>531</v>
      </c>
      <c r="D42">
        <v>136</v>
      </c>
    </row>
    <row r="43" spans="1:4" x14ac:dyDescent="0.25">
      <c r="A43" t="s">
        <v>532</v>
      </c>
      <c r="B43" t="s">
        <v>533</v>
      </c>
      <c r="C43" t="s">
        <v>534</v>
      </c>
      <c r="D43">
        <v>140</v>
      </c>
    </row>
    <row r="44" spans="1:4" x14ac:dyDescent="0.25">
      <c r="A44" t="s">
        <v>535</v>
      </c>
      <c r="B44" t="s">
        <v>536</v>
      </c>
      <c r="C44" t="s">
        <v>537</v>
      </c>
      <c r="D44">
        <v>148</v>
      </c>
    </row>
    <row r="45" spans="1:4" x14ac:dyDescent="0.25">
      <c r="A45" t="s">
        <v>538</v>
      </c>
      <c r="B45" t="s">
        <v>539</v>
      </c>
      <c r="C45" t="s">
        <v>540</v>
      </c>
      <c r="D45">
        <v>152</v>
      </c>
    </row>
    <row r="46" spans="1:4" x14ac:dyDescent="0.25">
      <c r="A46" t="s">
        <v>63</v>
      </c>
      <c r="B46" t="s">
        <v>541</v>
      </c>
      <c r="C46" t="s">
        <v>542</v>
      </c>
      <c r="D46">
        <v>156</v>
      </c>
    </row>
    <row r="47" spans="1:4" x14ac:dyDescent="0.25">
      <c r="A47" t="s">
        <v>543</v>
      </c>
      <c r="B47" t="s">
        <v>544</v>
      </c>
      <c r="C47" t="s">
        <v>545</v>
      </c>
      <c r="D47">
        <v>162</v>
      </c>
    </row>
    <row r="48" spans="1:4" x14ac:dyDescent="0.25">
      <c r="A48" t="s">
        <v>546</v>
      </c>
      <c r="B48" t="s">
        <v>547</v>
      </c>
      <c r="C48" t="s">
        <v>548</v>
      </c>
      <c r="D48">
        <v>166</v>
      </c>
    </row>
    <row r="49" spans="1:4" x14ac:dyDescent="0.25">
      <c r="A49" t="s">
        <v>549</v>
      </c>
      <c r="B49" t="s">
        <v>550</v>
      </c>
      <c r="C49" t="s">
        <v>551</v>
      </c>
      <c r="D49">
        <v>170</v>
      </c>
    </row>
    <row r="50" spans="1:4" x14ac:dyDescent="0.25">
      <c r="A50" t="s">
        <v>552</v>
      </c>
      <c r="B50" t="s">
        <v>553</v>
      </c>
      <c r="C50" t="s">
        <v>554</v>
      </c>
      <c r="D50">
        <v>174</v>
      </c>
    </row>
    <row r="51" spans="1:4" x14ac:dyDescent="0.25">
      <c r="A51" t="s">
        <v>555</v>
      </c>
      <c r="B51" t="s">
        <v>556</v>
      </c>
      <c r="C51" t="s">
        <v>557</v>
      </c>
      <c r="D51">
        <v>180</v>
      </c>
    </row>
    <row r="52" spans="1:4" x14ac:dyDescent="0.25">
      <c r="A52" t="s">
        <v>558</v>
      </c>
      <c r="B52" t="s">
        <v>559</v>
      </c>
      <c r="C52" t="s">
        <v>560</v>
      </c>
      <c r="D52">
        <v>178</v>
      </c>
    </row>
    <row r="53" spans="1:4" x14ac:dyDescent="0.25">
      <c r="A53" t="s">
        <v>561</v>
      </c>
      <c r="B53" t="s">
        <v>562</v>
      </c>
      <c r="C53" t="s">
        <v>563</v>
      </c>
      <c r="D53">
        <v>184</v>
      </c>
    </row>
    <row r="54" spans="1:4" x14ac:dyDescent="0.25">
      <c r="A54" t="s">
        <v>399</v>
      </c>
      <c r="B54" t="s">
        <v>564</v>
      </c>
      <c r="C54" t="s">
        <v>565</v>
      </c>
      <c r="D54">
        <v>188</v>
      </c>
    </row>
    <row r="55" spans="1:4" x14ac:dyDescent="0.25">
      <c r="A55" t="s">
        <v>566</v>
      </c>
      <c r="B55" t="s">
        <v>567</v>
      </c>
      <c r="C55" t="s">
        <v>568</v>
      </c>
      <c r="D55">
        <v>191</v>
      </c>
    </row>
    <row r="56" spans="1:4" x14ac:dyDescent="0.25">
      <c r="A56" t="s">
        <v>569</v>
      </c>
      <c r="B56" t="s">
        <v>570</v>
      </c>
      <c r="C56" t="s">
        <v>571</v>
      </c>
      <c r="D56">
        <v>192</v>
      </c>
    </row>
    <row r="57" spans="1:4" x14ac:dyDescent="0.25">
      <c r="A57" t="s">
        <v>572</v>
      </c>
      <c r="B57" t="s">
        <v>573</v>
      </c>
      <c r="C57" t="s">
        <v>574</v>
      </c>
      <c r="D57">
        <v>531</v>
      </c>
    </row>
    <row r="58" spans="1:4" x14ac:dyDescent="0.25">
      <c r="A58" t="s">
        <v>575</v>
      </c>
      <c r="B58" t="s">
        <v>576</v>
      </c>
      <c r="C58" t="s">
        <v>577</v>
      </c>
      <c r="D58">
        <v>196</v>
      </c>
    </row>
    <row r="59" spans="1:4" x14ac:dyDescent="0.25">
      <c r="A59" t="s">
        <v>578</v>
      </c>
      <c r="B59" t="s">
        <v>579</v>
      </c>
      <c r="C59" t="s">
        <v>580</v>
      </c>
      <c r="D59">
        <v>203</v>
      </c>
    </row>
    <row r="60" spans="1:4" x14ac:dyDescent="0.25">
      <c r="A60" t="s">
        <v>581</v>
      </c>
      <c r="B60" t="s">
        <v>582</v>
      </c>
      <c r="C60" t="s">
        <v>583</v>
      </c>
      <c r="D60">
        <v>384</v>
      </c>
    </row>
    <row r="61" spans="1:4" x14ac:dyDescent="0.25">
      <c r="A61" t="s">
        <v>584</v>
      </c>
      <c r="B61" t="s">
        <v>585</v>
      </c>
      <c r="C61" t="s">
        <v>586</v>
      </c>
      <c r="D61">
        <v>208</v>
      </c>
    </row>
    <row r="62" spans="1:4" x14ac:dyDescent="0.25">
      <c r="A62" t="s">
        <v>587</v>
      </c>
      <c r="B62" t="s">
        <v>588</v>
      </c>
      <c r="C62" t="s">
        <v>589</v>
      </c>
      <c r="D62">
        <v>262</v>
      </c>
    </row>
    <row r="63" spans="1:4" x14ac:dyDescent="0.25">
      <c r="A63" t="s">
        <v>590</v>
      </c>
      <c r="B63" t="s">
        <v>591</v>
      </c>
      <c r="C63" t="s">
        <v>592</v>
      </c>
      <c r="D63">
        <v>212</v>
      </c>
    </row>
    <row r="64" spans="1:4" x14ac:dyDescent="0.25">
      <c r="A64" t="s">
        <v>593</v>
      </c>
      <c r="B64" t="s">
        <v>594</v>
      </c>
      <c r="C64" t="s">
        <v>595</v>
      </c>
      <c r="D64">
        <v>214</v>
      </c>
    </row>
    <row r="65" spans="1:4" x14ac:dyDescent="0.25">
      <c r="A65" t="s">
        <v>596</v>
      </c>
      <c r="B65" t="s">
        <v>597</v>
      </c>
      <c r="C65" t="s">
        <v>598</v>
      </c>
      <c r="D65">
        <v>218</v>
      </c>
    </row>
    <row r="66" spans="1:4" x14ac:dyDescent="0.25">
      <c r="A66" t="s">
        <v>384</v>
      </c>
      <c r="B66" t="s">
        <v>599</v>
      </c>
      <c r="C66" t="s">
        <v>600</v>
      </c>
      <c r="D66">
        <v>818</v>
      </c>
    </row>
    <row r="67" spans="1:4" x14ac:dyDescent="0.25">
      <c r="A67" t="s">
        <v>601</v>
      </c>
      <c r="B67" t="s">
        <v>602</v>
      </c>
      <c r="C67" t="s">
        <v>603</v>
      </c>
      <c r="D67">
        <v>222</v>
      </c>
    </row>
    <row r="68" spans="1:4" x14ac:dyDescent="0.25">
      <c r="A68" t="s">
        <v>604</v>
      </c>
      <c r="B68" t="s">
        <v>605</v>
      </c>
      <c r="C68" t="s">
        <v>606</v>
      </c>
      <c r="D68">
        <v>226</v>
      </c>
    </row>
    <row r="69" spans="1:4" x14ac:dyDescent="0.25">
      <c r="A69" t="s">
        <v>607</v>
      </c>
      <c r="B69" t="s">
        <v>608</v>
      </c>
      <c r="C69" t="s">
        <v>609</v>
      </c>
      <c r="D69">
        <v>232</v>
      </c>
    </row>
    <row r="70" spans="1:4" x14ac:dyDescent="0.25">
      <c r="A70" t="s">
        <v>610</v>
      </c>
      <c r="B70" t="s">
        <v>611</v>
      </c>
      <c r="C70" t="s">
        <v>612</v>
      </c>
      <c r="D70">
        <v>233</v>
      </c>
    </row>
    <row r="71" spans="1:4" x14ac:dyDescent="0.25">
      <c r="A71" t="s">
        <v>613</v>
      </c>
      <c r="B71" t="s">
        <v>614</v>
      </c>
      <c r="C71" t="s">
        <v>615</v>
      </c>
      <c r="D71">
        <v>748</v>
      </c>
    </row>
    <row r="72" spans="1:4" x14ac:dyDescent="0.25">
      <c r="A72" t="s">
        <v>616</v>
      </c>
      <c r="B72" t="s">
        <v>617</v>
      </c>
      <c r="C72" t="s">
        <v>618</v>
      </c>
      <c r="D72">
        <v>231</v>
      </c>
    </row>
    <row r="73" spans="1:4" x14ac:dyDescent="0.25">
      <c r="A73" t="s">
        <v>619</v>
      </c>
      <c r="B73" t="s">
        <v>620</v>
      </c>
      <c r="C73" t="s">
        <v>621</v>
      </c>
      <c r="D73">
        <v>238</v>
      </c>
    </row>
    <row r="74" spans="1:4" x14ac:dyDescent="0.25">
      <c r="A74" t="s">
        <v>622</v>
      </c>
      <c r="B74" t="s">
        <v>623</v>
      </c>
      <c r="C74" t="s">
        <v>624</v>
      </c>
      <c r="D74">
        <v>234</v>
      </c>
    </row>
    <row r="75" spans="1:4" x14ac:dyDescent="0.25">
      <c r="A75" t="s">
        <v>625</v>
      </c>
      <c r="B75" t="s">
        <v>626</v>
      </c>
      <c r="C75" t="s">
        <v>627</v>
      </c>
      <c r="D75">
        <v>242</v>
      </c>
    </row>
    <row r="76" spans="1:4" x14ac:dyDescent="0.25">
      <c r="A76" t="s">
        <v>628</v>
      </c>
      <c r="B76" t="s">
        <v>629</v>
      </c>
      <c r="C76" t="s">
        <v>630</v>
      </c>
      <c r="D76">
        <v>246</v>
      </c>
    </row>
    <row r="77" spans="1:4" x14ac:dyDescent="0.25">
      <c r="A77" t="s">
        <v>631</v>
      </c>
      <c r="B77" t="s">
        <v>632</v>
      </c>
      <c r="C77" t="s">
        <v>633</v>
      </c>
      <c r="D77">
        <v>250</v>
      </c>
    </row>
    <row r="78" spans="1:4" x14ac:dyDescent="0.25">
      <c r="A78" t="s">
        <v>634</v>
      </c>
      <c r="B78" t="s">
        <v>635</v>
      </c>
      <c r="C78" t="s">
        <v>636</v>
      </c>
      <c r="D78">
        <v>254</v>
      </c>
    </row>
    <row r="79" spans="1:4" x14ac:dyDescent="0.25">
      <c r="A79" t="s">
        <v>637</v>
      </c>
      <c r="B79" t="s">
        <v>638</v>
      </c>
      <c r="C79" t="s">
        <v>639</v>
      </c>
      <c r="D79">
        <v>258</v>
      </c>
    </row>
    <row r="80" spans="1:4" x14ac:dyDescent="0.25">
      <c r="A80" t="s">
        <v>640</v>
      </c>
      <c r="B80" t="s">
        <v>641</v>
      </c>
      <c r="C80" t="s">
        <v>642</v>
      </c>
      <c r="D80">
        <v>260</v>
      </c>
    </row>
    <row r="81" spans="1:4" x14ac:dyDescent="0.25">
      <c r="A81" t="s">
        <v>643</v>
      </c>
      <c r="B81" t="s">
        <v>152</v>
      </c>
      <c r="C81" t="s">
        <v>644</v>
      </c>
      <c r="D81">
        <v>266</v>
      </c>
    </row>
    <row r="82" spans="1:4" x14ac:dyDescent="0.25">
      <c r="A82" t="s">
        <v>645</v>
      </c>
      <c r="B82" t="s">
        <v>646</v>
      </c>
      <c r="C82" t="s">
        <v>647</v>
      </c>
      <c r="D82">
        <v>270</v>
      </c>
    </row>
    <row r="83" spans="1:4" x14ac:dyDescent="0.25">
      <c r="A83" t="s">
        <v>648</v>
      </c>
      <c r="B83" t="s">
        <v>649</v>
      </c>
      <c r="C83" t="s">
        <v>650</v>
      </c>
      <c r="D83">
        <v>268</v>
      </c>
    </row>
    <row r="84" spans="1:4" x14ac:dyDescent="0.25">
      <c r="A84" t="s">
        <v>142</v>
      </c>
      <c r="B84" t="s">
        <v>651</v>
      </c>
      <c r="C84" t="s">
        <v>652</v>
      </c>
      <c r="D84">
        <v>276</v>
      </c>
    </row>
    <row r="85" spans="1:4" x14ac:dyDescent="0.25">
      <c r="A85" t="s">
        <v>653</v>
      </c>
      <c r="B85" t="s">
        <v>654</v>
      </c>
      <c r="C85" t="s">
        <v>655</v>
      </c>
      <c r="D85">
        <v>288</v>
      </c>
    </row>
    <row r="86" spans="1:4" x14ac:dyDescent="0.25">
      <c r="A86" t="s">
        <v>656</v>
      </c>
      <c r="B86" t="s">
        <v>657</v>
      </c>
      <c r="C86" t="s">
        <v>658</v>
      </c>
      <c r="D86">
        <v>292</v>
      </c>
    </row>
    <row r="87" spans="1:4" x14ac:dyDescent="0.25">
      <c r="A87" t="s">
        <v>659</v>
      </c>
      <c r="B87" t="s">
        <v>660</v>
      </c>
      <c r="C87" t="s">
        <v>661</v>
      </c>
      <c r="D87">
        <v>300</v>
      </c>
    </row>
    <row r="88" spans="1:4" x14ac:dyDescent="0.25">
      <c r="A88" t="s">
        <v>662</v>
      </c>
      <c r="B88" t="s">
        <v>663</v>
      </c>
      <c r="C88" t="s">
        <v>664</v>
      </c>
      <c r="D88">
        <v>304</v>
      </c>
    </row>
    <row r="89" spans="1:4" x14ac:dyDescent="0.25">
      <c r="A89" t="s">
        <v>665</v>
      </c>
      <c r="B89" t="s">
        <v>666</v>
      </c>
      <c r="C89" t="s">
        <v>667</v>
      </c>
      <c r="D89">
        <v>308</v>
      </c>
    </row>
    <row r="90" spans="1:4" x14ac:dyDescent="0.25">
      <c r="A90" t="s">
        <v>668</v>
      </c>
      <c r="B90" t="s">
        <v>669</v>
      </c>
      <c r="C90" t="s">
        <v>670</v>
      </c>
      <c r="D90">
        <v>312</v>
      </c>
    </row>
    <row r="91" spans="1:4" x14ac:dyDescent="0.25">
      <c r="A91" t="s">
        <v>671</v>
      </c>
      <c r="B91" t="s">
        <v>672</v>
      </c>
      <c r="C91" t="s">
        <v>673</v>
      </c>
      <c r="D91">
        <v>316</v>
      </c>
    </row>
    <row r="92" spans="1:4" x14ac:dyDescent="0.25">
      <c r="A92" t="s">
        <v>674</v>
      </c>
      <c r="B92" t="s">
        <v>675</v>
      </c>
      <c r="C92" t="s">
        <v>676</v>
      </c>
      <c r="D92">
        <v>320</v>
      </c>
    </row>
    <row r="93" spans="1:4" x14ac:dyDescent="0.25">
      <c r="A93" t="s">
        <v>677</v>
      </c>
      <c r="B93" t="s">
        <v>678</v>
      </c>
      <c r="C93" t="s">
        <v>679</v>
      </c>
      <c r="D93">
        <v>831</v>
      </c>
    </row>
    <row r="94" spans="1:4" x14ac:dyDescent="0.25">
      <c r="A94" t="s">
        <v>680</v>
      </c>
      <c r="B94" t="s">
        <v>681</v>
      </c>
      <c r="C94" t="s">
        <v>682</v>
      </c>
      <c r="D94">
        <v>324</v>
      </c>
    </row>
    <row r="95" spans="1:4" x14ac:dyDescent="0.25">
      <c r="A95" t="s">
        <v>683</v>
      </c>
      <c r="B95" t="s">
        <v>684</v>
      </c>
      <c r="C95" t="s">
        <v>685</v>
      </c>
      <c r="D95">
        <v>624</v>
      </c>
    </row>
    <row r="96" spans="1:4" x14ac:dyDescent="0.25">
      <c r="A96" t="s">
        <v>686</v>
      </c>
      <c r="B96" t="s">
        <v>687</v>
      </c>
      <c r="C96" t="s">
        <v>688</v>
      </c>
      <c r="D96">
        <v>328</v>
      </c>
    </row>
    <row r="97" spans="1:4" x14ac:dyDescent="0.25">
      <c r="A97" t="s">
        <v>689</v>
      </c>
      <c r="B97" t="s">
        <v>690</v>
      </c>
      <c r="C97" t="s">
        <v>691</v>
      </c>
      <c r="D97">
        <v>332</v>
      </c>
    </row>
    <row r="98" spans="1:4" x14ac:dyDescent="0.25">
      <c r="A98" t="s">
        <v>692</v>
      </c>
      <c r="B98" t="s">
        <v>693</v>
      </c>
      <c r="C98" t="s">
        <v>694</v>
      </c>
      <c r="D98">
        <v>334</v>
      </c>
    </row>
    <row r="99" spans="1:4" x14ac:dyDescent="0.25">
      <c r="A99" t="s">
        <v>695</v>
      </c>
      <c r="B99" t="s">
        <v>696</v>
      </c>
      <c r="C99" t="s">
        <v>697</v>
      </c>
      <c r="D99">
        <v>336</v>
      </c>
    </row>
    <row r="100" spans="1:4" x14ac:dyDescent="0.25">
      <c r="A100" t="s">
        <v>698</v>
      </c>
      <c r="B100" t="s">
        <v>699</v>
      </c>
      <c r="C100" t="s">
        <v>700</v>
      </c>
      <c r="D100">
        <v>340</v>
      </c>
    </row>
    <row r="101" spans="1:4" x14ac:dyDescent="0.25">
      <c r="A101" t="s">
        <v>701</v>
      </c>
      <c r="B101" t="s">
        <v>702</v>
      </c>
      <c r="C101" t="s">
        <v>703</v>
      </c>
      <c r="D101">
        <v>344</v>
      </c>
    </row>
    <row r="102" spans="1:4" x14ac:dyDescent="0.25">
      <c r="A102" t="s">
        <v>704</v>
      </c>
      <c r="B102" t="s">
        <v>705</v>
      </c>
      <c r="C102" t="s">
        <v>706</v>
      </c>
      <c r="D102">
        <v>348</v>
      </c>
    </row>
    <row r="103" spans="1:4" x14ac:dyDescent="0.25">
      <c r="A103" t="s">
        <v>707</v>
      </c>
      <c r="B103" t="s">
        <v>708</v>
      </c>
      <c r="C103" t="s">
        <v>709</v>
      </c>
      <c r="D103">
        <v>352</v>
      </c>
    </row>
    <row r="104" spans="1:4" x14ac:dyDescent="0.25">
      <c r="A104" t="s">
        <v>710</v>
      </c>
      <c r="B104" t="s">
        <v>711</v>
      </c>
      <c r="C104" t="s">
        <v>712</v>
      </c>
      <c r="D104">
        <v>356</v>
      </c>
    </row>
    <row r="105" spans="1:4" x14ac:dyDescent="0.25">
      <c r="A105" t="s">
        <v>713</v>
      </c>
      <c r="B105" t="s">
        <v>714</v>
      </c>
      <c r="C105" t="s">
        <v>715</v>
      </c>
      <c r="D105">
        <v>360</v>
      </c>
    </row>
    <row r="106" spans="1:4" x14ac:dyDescent="0.25">
      <c r="A106" t="s">
        <v>716</v>
      </c>
      <c r="B106" t="s">
        <v>717</v>
      </c>
      <c r="C106" t="s">
        <v>718</v>
      </c>
      <c r="D106">
        <v>364</v>
      </c>
    </row>
    <row r="107" spans="1:4" x14ac:dyDescent="0.25">
      <c r="A107" t="s">
        <v>719</v>
      </c>
      <c r="B107" t="s">
        <v>720</v>
      </c>
      <c r="C107" t="s">
        <v>721</v>
      </c>
      <c r="D107">
        <v>368</v>
      </c>
    </row>
    <row r="108" spans="1:4" x14ac:dyDescent="0.25">
      <c r="A108" t="s">
        <v>722</v>
      </c>
      <c r="B108" t="s">
        <v>723</v>
      </c>
      <c r="C108" t="s">
        <v>724</v>
      </c>
      <c r="D108">
        <v>372</v>
      </c>
    </row>
    <row r="109" spans="1:4" x14ac:dyDescent="0.25">
      <c r="A109" t="s">
        <v>725</v>
      </c>
      <c r="B109" t="s">
        <v>726</v>
      </c>
      <c r="C109" t="s">
        <v>727</v>
      </c>
      <c r="D109">
        <v>833</v>
      </c>
    </row>
    <row r="110" spans="1:4" x14ac:dyDescent="0.25">
      <c r="A110" t="s">
        <v>728</v>
      </c>
      <c r="B110" t="s">
        <v>729</v>
      </c>
      <c r="C110" t="s">
        <v>730</v>
      </c>
      <c r="D110">
        <v>376</v>
      </c>
    </row>
    <row r="111" spans="1:4" x14ac:dyDescent="0.25">
      <c r="A111" t="s">
        <v>731</v>
      </c>
      <c r="B111" t="s">
        <v>732</v>
      </c>
      <c r="C111" t="s">
        <v>733</v>
      </c>
      <c r="D111">
        <v>380</v>
      </c>
    </row>
    <row r="112" spans="1:4" x14ac:dyDescent="0.25">
      <c r="A112" t="s">
        <v>734</v>
      </c>
      <c r="B112" t="s">
        <v>735</v>
      </c>
      <c r="C112" t="s">
        <v>736</v>
      </c>
      <c r="D112">
        <v>388</v>
      </c>
    </row>
    <row r="113" spans="1:4" x14ac:dyDescent="0.25">
      <c r="A113" t="s">
        <v>737</v>
      </c>
      <c r="B113" t="s">
        <v>738</v>
      </c>
      <c r="C113" t="s">
        <v>739</v>
      </c>
      <c r="D113">
        <v>392</v>
      </c>
    </row>
    <row r="114" spans="1:4" x14ac:dyDescent="0.25">
      <c r="A114" t="s">
        <v>740</v>
      </c>
      <c r="B114" t="s">
        <v>741</v>
      </c>
      <c r="C114" t="s">
        <v>742</v>
      </c>
      <c r="D114">
        <v>832</v>
      </c>
    </row>
    <row r="115" spans="1:4" x14ac:dyDescent="0.25">
      <c r="A115" t="s">
        <v>743</v>
      </c>
      <c r="B115" t="s">
        <v>744</v>
      </c>
      <c r="C115" t="s">
        <v>745</v>
      </c>
      <c r="D115">
        <v>400</v>
      </c>
    </row>
    <row r="116" spans="1:4" x14ac:dyDescent="0.25">
      <c r="A116" t="s">
        <v>746</v>
      </c>
      <c r="B116" t="s">
        <v>747</v>
      </c>
      <c r="C116" t="s">
        <v>748</v>
      </c>
      <c r="D116">
        <v>398</v>
      </c>
    </row>
    <row r="117" spans="1:4" x14ac:dyDescent="0.25">
      <c r="A117" t="s">
        <v>749</v>
      </c>
      <c r="B117" t="s">
        <v>750</v>
      </c>
      <c r="C117" t="s">
        <v>751</v>
      </c>
      <c r="D117">
        <v>404</v>
      </c>
    </row>
    <row r="118" spans="1:4" x14ac:dyDescent="0.25">
      <c r="A118" t="s">
        <v>752</v>
      </c>
      <c r="B118" t="s">
        <v>753</v>
      </c>
      <c r="C118" t="s">
        <v>754</v>
      </c>
      <c r="D118">
        <v>296</v>
      </c>
    </row>
    <row r="119" spans="1:4" x14ac:dyDescent="0.25">
      <c r="A119" t="s">
        <v>755</v>
      </c>
      <c r="B119" t="s">
        <v>756</v>
      </c>
      <c r="C119" t="s">
        <v>757</v>
      </c>
      <c r="D119">
        <v>408</v>
      </c>
    </row>
    <row r="120" spans="1:4" x14ac:dyDescent="0.25">
      <c r="A120" t="s">
        <v>758</v>
      </c>
      <c r="B120" t="s">
        <v>759</v>
      </c>
      <c r="C120" t="s">
        <v>760</v>
      </c>
      <c r="D120">
        <v>410</v>
      </c>
    </row>
    <row r="121" spans="1:4" x14ac:dyDescent="0.25">
      <c r="A121" t="s">
        <v>761</v>
      </c>
      <c r="B121" t="s">
        <v>762</v>
      </c>
      <c r="C121" t="s">
        <v>763</v>
      </c>
      <c r="D121">
        <v>414</v>
      </c>
    </row>
    <row r="122" spans="1:4" x14ac:dyDescent="0.25">
      <c r="A122" t="s">
        <v>764</v>
      </c>
      <c r="B122" t="s">
        <v>765</v>
      </c>
      <c r="C122" t="s">
        <v>766</v>
      </c>
      <c r="D122">
        <v>417</v>
      </c>
    </row>
    <row r="123" spans="1:4" x14ac:dyDescent="0.25">
      <c r="A123" t="s">
        <v>767</v>
      </c>
      <c r="B123" t="s">
        <v>768</v>
      </c>
      <c r="C123" t="s">
        <v>769</v>
      </c>
      <c r="D123">
        <v>418</v>
      </c>
    </row>
    <row r="124" spans="1:4" x14ac:dyDescent="0.25">
      <c r="A124" t="s">
        <v>770</v>
      </c>
      <c r="B124" t="s">
        <v>771</v>
      </c>
      <c r="C124" t="s">
        <v>772</v>
      </c>
      <c r="D124">
        <v>428</v>
      </c>
    </row>
    <row r="125" spans="1:4" x14ac:dyDescent="0.25">
      <c r="A125" t="s">
        <v>59</v>
      </c>
      <c r="B125" t="s">
        <v>773</v>
      </c>
      <c r="C125" t="s">
        <v>774</v>
      </c>
      <c r="D125">
        <v>422</v>
      </c>
    </row>
    <row r="126" spans="1:4" x14ac:dyDescent="0.25">
      <c r="A126" t="s">
        <v>775</v>
      </c>
      <c r="B126" t="s">
        <v>776</v>
      </c>
      <c r="C126" t="s">
        <v>777</v>
      </c>
      <c r="D126">
        <v>426</v>
      </c>
    </row>
    <row r="127" spans="1:4" x14ac:dyDescent="0.25">
      <c r="A127" t="s">
        <v>778</v>
      </c>
      <c r="B127" t="s">
        <v>779</v>
      </c>
      <c r="C127" t="s">
        <v>780</v>
      </c>
      <c r="D127">
        <v>430</v>
      </c>
    </row>
    <row r="128" spans="1:4" x14ac:dyDescent="0.25">
      <c r="A128" t="s">
        <v>781</v>
      </c>
      <c r="B128" t="s">
        <v>782</v>
      </c>
      <c r="C128" t="s">
        <v>783</v>
      </c>
      <c r="D128">
        <v>434</v>
      </c>
    </row>
    <row r="129" spans="1:4" x14ac:dyDescent="0.25">
      <c r="A129" t="s">
        <v>784</v>
      </c>
      <c r="B129" t="s">
        <v>785</v>
      </c>
      <c r="C129" t="s">
        <v>786</v>
      </c>
      <c r="D129">
        <v>438</v>
      </c>
    </row>
    <row r="130" spans="1:4" x14ac:dyDescent="0.25">
      <c r="A130" t="s">
        <v>787</v>
      </c>
      <c r="B130" t="s">
        <v>788</v>
      </c>
      <c r="C130" t="s">
        <v>789</v>
      </c>
      <c r="D130">
        <v>440</v>
      </c>
    </row>
    <row r="131" spans="1:4" x14ac:dyDescent="0.25">
      <c r="A131" t="s">
        <v>790</v>
      </c>
      <c r="B131" t="s">
        <v>791</v>
      </c>
      <c r="C131" t="s">
        <v>792</v>
      </c>
      <c r="D131">
        <v>442</v>
      </c>
    </row>
    <row r="132" spans="1:4" x14ac:dyDescent="0.25">
      <c r="A132" t="s">
        <v>793</v>
      </c>
      <c r="B132" t="s">
        <v>794</v>
      </c>
      <c r="C132" t="s">
        <v>795</v>
      </c>
      <c r="D132">
        <v>446</v>
      </c>
    </row>
    <row r="133" spans="1:4" x14ac:dyDescent="0.25">
      <c r="A133" t="s">
        <v>796</v>
      </c>
      <c r="B133" t="s">
        <v>797</v>
      </c>
      <c r="C133" t="s">
        <v>798</v>
      </c>
      <c r="D133">
        <v>450</v>
      </c>
    </row>
    <row r="134" spans="1:4" x14ac:dyDescent="0.25">
      <c r="A134" t="s">
        <v>799</v>
      </c>
      <c r="B134" t="s">
        <v>800</v>
      </c>
      <c r="C134" t="s">
        <v>801</v>
      </c>
      <c r="D134">
        <v>454</v>
      </c>
    </row>
    <row r="135" spans="1:4" x14ac:dyDescent="0.25">
      <c r="A135" t="s">
        <v>802</v>
      </c>
      <c r="B135" t="s">
        <v>803</v>
      </c>
      <c r="C135" t="s">
        <v>804</v>
      </c>
      <c r="D135">
        <v>458</v>
      </c>
    </row>
    <row r="136" spans="1:4" x14ac:dyDescent="0.25">
      <c r="A136" t="s">
        <v>805</v>
      </c>
      <c r="B136" t="s">
        <v>806</v>
      </c>
      <c r="C136" t="s">
        <v>807</v>
      </c>
      <c r="D136">
        <v>462</v>
      </c>
    </row>
    <row r="137" spans="1:4" x14ac:dyDescent="0.25">
      <c r="A137" t="s">
        <v>808</v>
      </c>
      <c r="B137" t="s">
        <v>809</v>
      </c>
      <c r="C137" t="s">
        <v>810</v>
      </c>
      <c r="D137">
        <v>466</v>
      </c>
    </row>
    <row r="138" spans="1:4" x14ac:dyDescent="0.25">
      <c r="A138" t="s">
        <v>811</v>
      </c>
      <c r="B138" t="s">
        <v>812</v>
      </c>
      <c r="C138" t="s">
        <v>813</v>
      </c>
      <c r="D138">
        <v>470</v>
      </c>
    </row>
    <row r="139" spans="1:4" x14ac:dyDescent="0.25">
      <c r="A139" t="s">
        <v>814</v>
      </c>
      <c r="B139" t="s">
        <v>815</v>
      </c>
      <c r="C139" t="s">
        <v>816</v>
      </c>
      <c r="D139">
        <v>584</v>
      </c>
    </row>
    <row r="140" spans="1:4" x14ac:dyDescent="0.25">
      <c r="A140" t="s">
        <v>817</v>
      </c>
      <c r="B140" t="s">
        <v>818</v>
      </c>
      <c r="C140" t="s">
        <v>819</v>
      </c>
      <c r="D140">
        <v>474</v>
      </c>
    </row>
    <row r="141" spans="1:4" x14ac:dyDescent="0.25">
      <c r="A141" t="s">
        <v>820</v>
      </c>
      <c r="B141" t="s">
        <v>821</v>
      </c>
      <c r="C141" t="s">
        <v>822</v>
      </c>
      <c r="D141">
        <v>478</v>
      </c>
    </row>
    <row r="142" spans="1:4" x14ac:dyDescent="0.25">
      <c r="A142" t="s">
        <v>823</v>
      </c>
      <c r="B142" t="s">
        <v>824</v>
      </c>
      <c r="C142" t="s">
        <v>825</v>
      </c>
      <c r="D142">
        <v>480</v>
      </c>
    </row>
    <row r="143" spans="1:4" x14ac:dyDescent="0.25">
      <c r="A143" t="s">
        <v>826</v>
      </c>
      <c r="B143" t="s">
        <v>827</v>
      </c>
      <c r="C143" t="s">
        <v>828</v>
      </c>
      <c r="D143">
        <v>175</v>
      </c>
    </row>
    <row r="144" spans="1:4" x14ac:dyDescent="0.25">
      <c r="A144" t="s">
        <v>829</v>
      </c>
      <c r="B144" t="s">
        <v>830</v>
      </c>
      <c r="C144" t="s">
        <v>831</v>
      </c>
      <c r="D144">
        <v>484</v>
      </c>
    </row>
    <row r="145" spans="1:4" x14ac:dyDescent="0.25">
      <c r="A145" t="s">
        <v>832</v>
      </c>
      <c r="B145" t="s">
        <v>833</v>
      </c>
      <c r="C145" t="s">
        <v>834</v>
      </c>
      <c r="D145">
        <v>583</v>
      </c>
    </row>
    <row r="146" spans="1:4" x14ac:dyDescent="0.25">
      <c r="A146" t="s">
        <v>835</v>
      </c>
      <c r="B146" t="s">
        <v>836</v>
      </c>
      <c r="C146" t="s">
        <v>837</v>
      </c>
      <c r="D146">
        <v>498</v>
      </c>
    </row>
    <row r="147" spans="1:4" x14ac:dyDescent="0.25">
      <c r="A147" t="s">
        <v>838</v>
      </c>
      <c r="B147" t="s">
        <v>839</v>
      </c>
      <c r="C147" t="s">
        <v>840</v>
      </c>
      <c r="D147">
        <v>492</v>
      </c>
    </row>
    <row r="148" spans="1:4" x14ac:dyDescent="0.25">
      <c r="A148" t="s">
        <v>841</v>
      </c>
      <c r="B148" t="s">
        <v>842</v>
      </c>
      <c r="C148" t="s">
        <v>843</v>
      </c>
      <c r="D148">
        <v>496</v>
      </c>
    </row>
    <row r="149" spans="1:4" x14ac:dyDescent="0.25">
      <c r="A149" t="s">
        <v>844</v>
      </c>
      <c r="B149" t="s">
        <v>845</v>
      </c>
      <c r="C149" t="s">
        <v>846</v>
      </c>
      <c r="D149">
        <v>499</v>
      </c>
    </row>
    <row r="150" spans="1:4" x14ac:dyDescent="0.25">
      <c r="A150" t="s">
        <v>847</v>
      </c>
      <c r="B150" t="s">
        <v>848</v>
      </c>
      <c r="C150" t="s">
        <v>849</v>
      </c>
      <c r="D150">
        <v>500</v>
      </c>
    </row>
    <row r="151" spans="1:4" x14ac:dyDescent="0.25">
      <c r="A151" t="s">
        <v>850</v>
      </c>
      <c r="B151" t="s">
        <v>851</v>
      </c>
      <c r="C151" t="s">
        <v>852</v>
      </c>
      <c r="D151">
        <v>504</v>
      </c>
    </row>
    <row r="152" spans="1:4" x14ac:dyDescent="0.25">
      <c r="A152" t="s">
        <v>853</v>
      </c>
      <c r="B152" t="s">
        <v>854</v>
      </c>
      <c r="C152" t="s">
        <v>855</v>
      </c>
      <c r="D152">
        <v>508</v>
      </c>
    </row>
    <row r="153" spans="1:4" x14ac:dyDescent="0.25">
      <c r="A153" t="s">
        <v>856</v>
      </c>
      <c r="B153" t="s">
        <v>857</v>
      </c>
      <c r="C153" t="s">
        <v>858</v>
      </c>
      <c r="D153">
        <v>104</v>
      </c>
    </row>
    <row r="154" spans="1:4" x14ac:dyDescent="0.25">
      <c r="A154" t="s">
        <v>859</v>
      </c>
      <c r="B154" t="s">
        <v>860</v>
      </c>
      <c r="C154" t="s">
        <v>861</v>
      </c>
      <c r="D154">
        <v>516</v>
      </c>
    </row>
    <row r="155" spans="1:4" x14ac:dyDescent="0.25">
      <c r="A155" t="s">
        <v>862</v>
      </c>
      <c r="B155" t="s">
        <v>863</v>
      </c>
      <c r="C155" t="s">
        <v>864</v>
      </c>
      <c r="D155">
        <v>520</v>
      </c>
    </row>
    <row r="156" spans="1:4" x14ac:dyDescent="0.25">
      <c r="A156" t="s">
        <v>865</v>
      </c>
      <c r="B156" t="s">
        <v>866</v>
      </c>
      <c r="C156" t="s">
        <v>867</v>
      </c>
      <c r="D156">
        <v>524</v>
      </c>
    </row>
    <row r="157" spans="1:4" x14ac:dyDescent="0.25">
      <c r="A157" t="s">
        <v>868</v>
      </c>
      <c r="B157" t="s">
        <v>869</v>
      </c>
      <c r="C157" t="s">
        <v>870</v>
      </c>
      <c r="D157">
        <v>528</v>
      </c>
    </row>
    <row r="158" spans="1:4" x14ac:dyDescent="0.25">
      <c r="A158" t="s">
        <v>871</v>
      </c>
      <c r="B158" t="s">
        <v>872</v>
      </c>
      <c r="C158" t="s">
        <v>873</v>
      </c>
      <c r="D158">
        <v>540</v>
      </c>
    </row>
    <row r="159" spans="1:4" x14ac:dyDescent="0.25">
      <c r="A159" t="s">
        <v>874</v>
      </c>
      <c r="B159" t="s">
        <v>875</v>
      </c>
      <c r="C159" t="s">
        <v>876</v>
      </c>
      <c r="D159">
        <v>554</v>
      </c>
    </row>
    <row r="160" spans="1:4" x14ac:dyDescent="0.25">
      <c r="A160" t="s">
        <v>877</v>
      </c>
      <c r="B160" t="s">
        <v>878</v>
      </c>
      <c r="C160" t="s">
        <v>879</v>
      </c>
      <c r="D160">
        <v>558</v>
      </c>
    </row>
    <row r="161" spans="1:4" x14ac:dyDescent="0.25">
      <c r="A161" t="s">
        <v>880</v>
      </c>
      <c r="B161" t="s">
        <v>881</v>
      </c>
      <c r="C161" t="s">
        <v>882</v>
      </c>
      <c r="D161">
        <v>562</v>
      </c>
    </row>
    <row r="162" spans="1:4" x14ac:dyDescent="0.25">
      <c r="A162" t="s">
        <v>883</v>
      </c>
      <c r="B162" t="s">
        <v>884</v>
      </c>
      <c r="C162" t="s">
        <v>885</v>
      </c>
      <c r="D162">
        <v>566</v>
      </c>
    </row>
    <row r="163" spans="1:4" x14ac:dyDescent="0.25">
      <c r="A163" t="s">
        <v>886</v>
      </c>
      <c r="B163" t="s">
        <v>887</v>
      </c>
      <c r="C163" t="s">
        <v>888</v>
      </c>
      <c r="D163">
        <v>570</v>
      </c>
    </row>
    <row r="164" spans="1:4" x14ac:dyDescent="0.25">
      <c r="A164" t="s">
        <v>889</v>
      </c>
      <c r="B164" t="s">
        <v>890</v>
      </c>
      <c r="C164" t="s">
        <v>891</v>
      </c>
      <c r="D164">
        <v>574</v>
      </c>
    </row>
    <row r="165" spans="1:4" x14ac:dyDescent="0.25">
      <c r="A165" t="s">
        <v>892</v>
      </c>
      <c r="B165" t="s">
        <v>893</v>
      </c>
      <c r="C165" t="s">
        <v>894</v>
      </c>
      <c r="D165">
        <v>580</v>
      </c>
    </row>
    <row r="166" spans="1:4" x14ac:dyDescent="0.25">
      <c r="A166" t="s">
        <v>895</v>
      </c>
      <c r="B166" t="s">
        <v>896</v>
      </c>
      <c r="C166" t="s">
        <v>897</v>
      </c>
      <c r="D166">
        <v>578</v>
      </c>
    </row>
    <row r="167" spans="1:4" x14ac:dyDescent="0.25">
      <c r="A167" t="s">
        <v>898</v>
      </c>
      <c r="B167" t="s">
        <v>899</v>
      </c>
      <c r="C167" t="s">
        <v>900</v>
      </c>
      <c r="D167">
        <v>512</v>
      </c>
    </row>
    <row r="168" spans="1:4" x14ac:dyDescent="0.25">
      <c r="A168" t="s">
        <v>901</v>
      </c>
      <c r="B168" t="s">
        <v>902</v>
      </c>
      <c r="C168" t="s">
        <v>903</v>
      </c>
      <c r="D168">
        <v>586</v>
      </c>
    </row>
    <row r="169" spans="1:4" x14ac:dyDescent="0.25">
      <c r="A169" t="s">
        <v>904</v>
      </c>
      <c r="B169" t="s">
        <v>905</v>
      </c>
      <c r="C169" t="s">
        <v>906</v>
      </c>
      <c r="D169">
        <v>585</v>
      </c>
    </row>
    <row r="170" spans="1:4" x14ac:dyDescent="0.25">
      <c r="A170" t="s">
        <v>907</v>
      </c>
      <c r="B170" t="s">
        <v>908</v>
      </c>
      <c r="C170" t="s">
        <v>909</v>
      </c>
      <c r="D170">
        <v>275</v>
      </c>
    </row>
    <row r="171" spans="1:4" x14ac:dyDescent="0.25">
      <c r="A171" t="s">
        <v>910</v>
      </c>
      <c r="B171" t="s">
        <v>911</v>
      </c>
      <c r="C171" t="s">
        <v>912</v>
      </c>
      <c r="D171">
        <v>591</v>
      </c>
    </row>
    <row r="172" spans="1:4" x14ac:dyDescent="0.25">
      <c r="A172" t="s">
        <v>62</v>
      </c>
      <c r="B172" t="s">
        <v>913</v>
      </c>
      <c r="C172" t="s">
        <v>914</v>
      </c>
      <c r="D172">
        <v>598</v>
      </c>
    </row>
    <row r="173" spans="1:4" x14ac:dyDescent="0.25">
      <c r="A173" t="s">
        <v>915</v>
      </c>
      <c r="B173" t="s">
        <v>916</v>
      </c>
      <c r="C173" t="s">
        <v>917</v>
      </c>
      <c r="D173">
        <v>600</v>
      </c>
    </row>
    <row r="174" spans="1:4" x14ac:dyDescent="0.25">
      <c r="A174" t="s">
        <v>918</v>
      </c>
      <c r="B174" t="s">
        <v>919</v>
      </c>
      <c r="C174" t="s">
        <v>920</v>
      </c>
      <c r="D174">
        <v>604</v>
      </c>
    </row>
    <row r="175" spans="1:4" x14ac:dyDescent="0.25">
      <c r="A175" t="s">
        <v>921</v>
      </c>
      <c r="B175" t="s">
        <v>922</v>
      </c>
      <c r="C175" t="s">
        <v>923</v>
      </c>
      <c r="D175">
        <v>608</v>
      </c>
    </row>
    <row r="176" spans="1:4" x14ac:dyDescent="0.25">
      <c r="A176" t="s">
        <v>924</v>
      </c>
      <c r="B176" t="s">
        <v>925</v>
      </c>
      <c r="C176" t="s">
        <v>926</v>
      </c>
      <c r="D176">
        <v>612</v>
      </c>
    </row>
    <row r="177" spans="1:4" x14ac:dyDescent="0.25">
      <c r="A177" t="s">
        <v>394</v>
      </c>
      <c r="B177" t="s">
        <v>927</v>
      </c>
      <c r="C177" t="s">
        <v>928</v>
      </c>
      <c r="D177">
        <v>616</v>
      </c>
    </row>
    <row r="178" spans="1:4" x14ac:dyDescent="0.25">
      <c r="A178" t="s">
        <v>929</v>
      </c>
      <c r="B178" t="s">
        <v>930</v>
      </c>
      <c r="C178" t="s">
        <v>931</v>
      </c>
      <c r="D178">
        <v>620</v>
      </c>
    </row>
    <row r="179" spans="1:4" x14ac:dyDescent="0.25">
      <c r="A179" t="s">
        <v>932</v>
      </c>
      <c r="B179" t="s">
        <v>933</v>
      </c>
      <c r="C179" t="s">
        <v>934</v>
      </c>
      <c r="D179">
        <v>630</v>
      </c>
    </row>
    <row r="180" spans="1:4" x14ac:dyDescent="0.25">
      <c r="A180" t="s">
        <v>935</v>
      </c>
      <c r="B180" t="s">
        <v>936</v>
      </c>
      <c r="C180" t="s">
        <v>937</v>
      </c>
      <c r="D180">
        <v>634</v>
      </c>
    </row>
    <row r="181" spans="1:4" x14ac:dyDescent="0.25">
      <c r="A181" t="s">
        <v>938</v>
      </c>
      <c r="B181" t="s">
        <v>939</v>
      </c>
      <c r="C181" t="s">
        <v>940</v>
      </c>
      <c r="D181">
        <v>807</v>
      </c>
    </row>
    <row r="182" spans="1:4" x14ac:dyDescent="0.25">
      <c r="A182" t="s">
        <v>941</v>
      </c>
      <c r="B182" t="s">
        <v>942</v>
      </c>
      <c r="C182" t="s">
        <v>943</v>
      </c>
      <c r="D182">
        <v>642</v>
      </c>
    </row>
    <row r="183" spans="1:4" x14ac:dyDescent="0.25">
      <c r="A183" t="s">
        <v>944</v>
      </c>
      <c r="B183" t="s">
        <v>945</v>
      </c>
      <c r="C183" t="s">
        <v>946</v>
      </c>
      <c r="D183">
        <v>643</v>
      </c>
    </row>
    <row r="184" spans="1:4" x14ac:dyDescent="0.25">
      <c r="A184" t="s">
        <v>947</v>
      </c>
      <c r="B184" t="s">
        <v>948</v>
      </c>
      <c r="C184" t="s">
        <v>949</v>
      </c>
      <c r="D184">
        <v>646</v>
      </c>
    </row>
    <row r="185" spans="1:4" x14ac:dyDescent="0.25">
      <c r="A185" t="s">
        <v>950</v>
      </c>
      <c r="B185" t="s">
        <v>951</v>
      </c>
      <c r="C185" t="s">
        <v>952</v>
      </c>
      <c r="D185">
        <v>638</v>
      </c>
    </row>
    <row r="186" spans="1:4" x14ac:dyDescent="0.25">
      <c r="A186" t="s">
        <v>953</v>
      </c>
      <c r="B186" t="s">
        <v>954</v>
      </c>
      <c r="C186" t="s">
        <v>955</v>
      </c>
      <c r="D186">
        <v>652</v>
      </c>
    </row>
    <row r="187" spans="1:4" x14ac:dyDescent="0.25">
      <c r="A187" t="s">
        <v>956</v>
      </c>
      <c r="B187" t="s">
        <v>957</v>
      </c>
      <c r="C187" t="s">
        <v>958</v>
      </c>
      <c r="D187">
        <v>654</v>
      </c>
    </row>
    <row r="188" spans="1:4" x14ac:dyDescent="0.25">
      <c r="A188" t="s">
        <v>959</v>
      </c>
      <c r="B188" t="s">
        <v>960</v>
      </c>
      <c r="C188" t="s">
        <v>961</v>
      </c>
      <c r="D188">
        <v>659</v>
      </c>
    </row>
    <row r="189" spans="1:4" x14ac:dyDescent="0.25">
      <c r="A189" t="s">
        <v>962</v>
      </c>
      <c r="B189" t="s">
        <v>963</v>
      </c>
      <c r="C189" t="s">
        <v>964</v>
      </c>
      <c r="D189">
        <v>662</v>
      </c>
    </row>
    <row r="190" spans="1:4" x14ac:dyDescent="0.25">
      <c r="A190" t="s">
        <v>965</v>
      </c>
      <c r="B190" t="s">
        <v>966</v>
      </c>
      <c r="C190" t="s">
        <v>967</v>
      </c>
      <c r="D190">
        <v>663</v>
      </c>
    </row>
    <row r="191" spans="1:4" x14ac:dyDescent="0.25">
      <c r="A191" t="s">
        <v>968</v>
      </c>
      <c r="B191" t="s">
        <v>969</v>
      </c>
      <c r="C191" t="s">
        <v>970</v>
      </c>
      <c r="D191">
        <v>666</v>
      </c>
    </row>
    <row r="192" spans="1:4" x14ac:dyDescent="0.25">
      <c r="A192" t="s">
        <v>971</v>
      </c>
      <c r="B192" t="s">
        <v>972</v>
      </c>
      <c r="C192" t="s">
        <v>973</v>
      </c>
      <c r="D192">
        <v>670</v>
      </c>
    </row>
    <row r="193" spans="1:4" x14ac:dyDescent="0.25">
      <c r="A193" t="s">
        <v>974</v>
      </c>
      <c r="B193" t="s">
        <v>975</v>
      </c>
      <c r="C193" t="s">
        <v>976</v>
      </c>
      <c r="D193">
        <v>882</v>
      </c>
    </row>
    <row r="194" spans="1:4" x14ac:dyDescent="0.25">
      <c r="A194" t="s">
        <v>977</v>
      </c>
      <c r="B194" t="s">
        <v>978</v>
      </c>
      <c r="C194" t="s">
        <v>979</v>
      </c>
      <c r="D194">
        <v>674</v>
      </c>
    </row>
    <row r="195" spans="1:4" x14ac:dyDescent="0.25">
      <c r="A195" t="s">
        <v>980</v>
      </c>
      <c r="B195" t="s">
        <v>981</v>
      </c>
      <c r="C195" t="s">
        <v>982</v>
      </c>
      <c r="D195">
        <v>678</v>
      </c>
    </row>
    <row r="196" spans="1:4" x14ac:dyDescent="0.25">
      <c r="A196" t="s">
        <v>983</v>
      </c>
      <c r="B196" t="s">
        <v>984</v>
      </c>
      <c r="C196" t="s">
        <v>985</v>
      </c>
      <c r="D196">
        <v>682</v>
      </c>
    </row>
    <row r="197" spans="1:4" x14ac:dyDescent="0.25">
      <c r="A197" t="s">
        <v>986</v>
      </c>
      <c r="B197" t="s">
        <v>987</v>
      </c>
      <c r="C197" t="s">
        <v>988</v>
      </c>
      <c r="D197">
        <v>686</v>
      </c>
    </row>
    <row r="198" spans="1:4" x14ac:dyDescent="0.25">
      <c r="A198" t="s">
        <v>989</v>
      </c>
      <c r="B198" t="s">
        <v>990</v>
      </c>
      <c r="C198" t="s">
        <v>991</v>
      </c>
      <c r="D198">
        <v>688</v>
      </c>
    </row>
    <row r="199" spans="1:4" x14ac:dyDescent="0.25">
      <c r="A199" t="s">
        <v>992</v>
      </c>
      <c r="B199" t="s">
        <v>993</v>
      </c>
      <c r="C199" t="s">
        <v>994</v>
      </c>
      <c r="D199">
        <v>690</v>
      </c>
    </row>
    <row r="200" spans="1:4" x14ac:dyDescent="0.25">
      <c r="A200" t="s">
        <v>995</v>
      </c>
      <c r="B200" t="s">
        <v>996</v>
      </c>
      <c r="C200" t="s">
        <v>997</v>
      </c>
      <c r="D200">
        <v>694</v>
      </c>
    </row>
    <row r="201" spans="1:4" x14ac:dyDescent="0.25">
      <c r="A201" t="s">
        <v>998</v>
      </c>
      <c r="B201" t="s">
        <v>999</v>
      </c>
      <c r="C201" t="s">
        <v>1000</v>
      </c>
      <c r="D201">
        <v>702</v>
      </c>
    </row>
    <row r="202" spans="1:4" x14ac:dyDescent="0.25">
      <c r="A202" t="s">
        <v>1001</v>
      </c>
      <c r="B202" t="s">
        <v>1002</v>
      </c>
      <c r="C202" t="s">
        <v>1003</v>
      </c>
      <c r="D202">
        <v>534</v>
      </c>
    </row>
    <row r="203" spans="1:4" x14ac:dyDescent="0.25">
      <c r="A203" t="s">
        <v>1004</v>
      </c>
      <c r="B203" t="s">
        <v>1005</v>
      </c>
      <c r="C203" t="s">
        <v>1006</v>
      </c>
      <c r="D203">
        <v>703</v>
      </c>
    </row>
    <row r="204" spans="1:4" x14ac:dyDescent="0.25">
      <c r="A204" t="s">
        <v>1007</v>
      </c>
      <c r="B204" t="s">
        <v>1008</v>
      </c>
      <c r="C204" t="s">
        <v>1009</v>
      </c>
      <c r="D204">
        <v>705</v>
      </c>
    </row>
    <row r="205" spans="1:4" x14ac:dyDescent="0.25">
      <c r="A205" t="s">
        <v>1010</v>
      </c>
      <c r="B205" t="s">
        <v>1011</v>
      </c>
      <c r="C205" t="s">
        <v>1012</v>
      </c>
      <c r="D205">
        <v>90</v>
      </c>
    </row>
    <row r="206" spans="1:4" x14ac:dyDescent="0.25">
      <c r="A206" t="s">
        <v>1013</v>
      </c>
      <c r="B206" t="s">
        <v>1014</v>
      </c>
      <c r="C206" t="s">
        <v>1015</v>
      </c>
      <c r="D206">
        <v>706</v>
      </c>
    </row>
    <row r="207" spans="1:4" x14ac:dyDescent="0.25">
      <c r="A207" t="s">
        <v>1016</v>
      </c>
      <c r="B207" t="s">
        <v>1017</v>
      </c>
      <c r="C207" t="s">
        <v>1018</v>
      </c>
      <c r="D207">
        <v>710</v>
      </c>
    </row>
    <row r="208" spans="1:4" x14ac:dyDescent="0.25">
      <c r="A208" t="s">
        <v>1019</v>
      </c>
      <c r="B208" t="s">
        <v>1020</v>
      </c>
      <c r="C208" t="s">
        <v>1021</v>
      </c>
      <c r="D208">
        <v>239</v>
      </c>
    </row>
    <row r="209" spans="1:4" x14ac:dyDescent="0.25">
      <c r="A209" t="s">
        <v>1022</v>
      </c>
      <c r="B209" t="s">
        <v>1023</v>
      </c>
      <c r="C209" t="s">
        <v>1024</v>
      </c>
      <c r="D209">
        <v>728</v>
      </c>
    </row>
    <row r="210" spans="1:4" x14ac:dyDescent="0.25">
      <c r="A210" t="s">
        <v>1025</v>
      </c>
      <c r="B210" t="s">
        <v>1026</v>
      </c>
      <c r="C210" t="s">
        <v>1027</v>
      </c>
      <c r="D210">
        <v>724</v>
      </c>
    </row>
    <row r="211" spans="1:4" x14ac:dyDescent="0.25">
      <c r="A211" t="s">
        <v>1028</v>
      </c>
      <c r="B211" t="s">
        <v>1029</v>
      </c>
      <c r="C211" t="s">
        <v>1030</v>
      </c>
      <c r="D211">
        <v>144</v>
      </c>
    </row>
    <row r="212" spans="1:4" x14ac:dyDescent="0.25">
      <c r="A212" t="s">
        <v>1031</v>
      </c>
      <c r="B212" t="s">
        <v>1032</v>
      </c>
      <c r="C212" t="s">
        <v>1033</v>
      </c>
      <c r="D212">
        <v>729</v>
      </c>
    </row>
    <row r="213" spans="1:4" x14ac:dyDescent="0.25">
      <c r="A213" t="s">
        <v>1034</v>
      </c>
      <c r="B213" t="s">
        <v>1035</v>
      </c>
      <c r="C213" t="s">
        <v>1036</v>
      </c>
      <c r="D213">
        <v>740</v>
      </c>
    </row>
    <row r="214" spans="1:4" x14ac:dyDescent="0.25">
      <c r="A214" t="s">
        <v>1037</v>
      </c>
      <c r="B214" t="s">
        <v>1038</v>
      </c>
      <c r="C214" t="s">
        <v>1039</v>
      </c>
      <c r="D214">
        <v>744</v>
      </c>
    </row>
    <row r="215" spans="1:4" x14ac:dyDescent="0.25">
      <c r="A215" t="s">
        <v>1040</v>
      </c>
      <c r="B215" t="s">
        <v>1041</v>
      </c>
      <c r="C215" t="s">
        <v>1042</v>
      </c>
      <c r="D215">
        <v>752</v>
      </c>
    </row>
    <row r="216" spans="1:4" x14ac:dyDescent="0.25">
      <c r="A216" t="s">
        <v>1043</v>
      </c>
      <c r="B216" t="s">
        <v>1044</v>
      </c>
      <c r="C216" t="s">
        <v>1045</v>
      </c>
      <c r="D216">
        <v>756</v>
      </c>
    </row>
    <row r="217" spans="1:4" x14ac:dyDescent="0.25">
      <c r="A217" t="s">
        <v>1046</v>
      </c>
      <c r="B217" t="s">
        <v>1047</v>
      </c>
      <c r="C217" t="s">
        <v>1048</v>
      </c>
      <c r="D217">
        <v>760</v>
      </c>
    </row>
    <row r="218" spans="1:4" x14ac:dyDescent="0.25">
      <c r="A218" t="s">
        <v>1049</v>
      </c>
      <c r="B218" t="s">
        <v>1050</v>
      </c>
      <c r="C218" t="s">
        <v>1051</v>
      </c>
      <c r="D218">
        <v>158</v>
      </c>
    </row>
    <row r="219" spans="1:4" x14ac:dyDescent="0.25">
      <c r="A219" t="s">
        <v>1052</v>
      </c>
      <c r="B219" t="s">
        <v>1053</v>
      </c>
      <c r="C219" t="s">
        <v>1054</v>
      </c>
      <c r="D219">
        <v>762</v>
      </c>
    </row>
    <row r="220" spans="1:4" x14ac:dyDescent="0.25">
      <c r="A220" t="s">
        <v>1055</v>
      </c>
      <c r="B220" t="s">
        <v>1056</v>
      </c>
      <c r="C220" t="s">
        <v>1057</v>
      </c>
      <c r="D220">
        <v>834</v>
      </c>
    </row>
    <row r="221" spans="1:4" x14ac:dyDescent="0.25">
      <c r="A221" t="s">
        <v>1058</v>
      </c>
      <c r="B221" t="s">
        <v>1059</v>
      </c>
      <c r="C221" t="s">
        <v>1060</v>
      </c>
      <c r="D221">
        <v>764</v>
      </c>
    </row>
    <row r="222" spans="1:4" x14ac:dyDescent="0.25">
      <c r="A222" t="s">
        <v>1061</v>
      </c>
      <c r="B222" t="s">
        <v>1062</v>
      </c>
      <c r="C222" t="s">
        <v>1063</v>
      </c>
      <c r="D222">
        <v>626</v>
      </c>
    </row>
    <row r="223" spans="1:4" x14ac:dyDescent="0.25">
      <c r="A223" t="s">
        <v>1064</v>
      </c>
      <c r="B223" t="s">
        <v>1065</v>
      </c>
      <c r="C223" t="s">
        <v>1066</v>
      </c>
      <c r="D223">
        <v>768</v>
      </c>
    </row>
    <row r="224" spans="1:4" x14ac:dyDescent="0.25">
      <c r="A224" t="s">
        <v>1067</v>
      </c>
      <c r="B224" t="s">
        <v>1068</v>
      </c>
      <c r="C224" t="s">
        <v>1069</v>
      </c>
      <c r="D224">
        <v>772</v>
      </c>
    </row>
    <row r="225" spans="1:4" x14ac:dyDescent="0.25">
      <c r="A225" t="s">
        <v>1070</v>
      </c>
      <c r="B225" t="s">
        <v>1071</v>
      </c>
      <c r="C225" t="s">
        <v>1072</v>
      </c>
      <c r="D225">
        <v>776</v>
      </c>
    </row>
    <row r="226" spans="1:4" x14ac:dyDescent="0.25">
      <c r="A226" t="s">
        <v>1073</v>
      </c>
      <c r="B226" t="s">
        <v>1074</v>
      </c>
      <c r="C226" t="s">
        <v>1075</v>
      </c>
      <c r="D226">
        <v>780</v>
      </c>
    </row>
    <row r="227" spans="1:4" x14ac:dyDescent="0.25">
      <c r="A227" t="s">
        <v>1076</v>
      </c>
      <c r="B227" t="s">
        <v>1077</v>
      </c>
      <c r="C227" t="s">
        <v>1078</v>
      </c>
      <c r="D227">
        <v>788</v>
      </c>
    </row>
    <row r="228" spans="1:4" x14ac:dyDescent="0.25">
      <c r="A228" t="s">
        <v>391</v>
      </c>
      <c r="B228" t="s">
        <v>1079</v>
      </c>
      <c r="C228" t="s">
        <v>1080</v>
      </c>
      <c r="D228">
        <v>792</v>
      </c>
    </row>
    <row r="229" spans="1:4" x14ac:dyDescent="0.25">
      <c r="A229" t="s">
        <v>1081</v>
      </c>
      <c r="B229" t="s">
        <v>1082</v>
      </c>
      <c r="C229" t="s">
        <v>1083</v>
      </c>
      <c r="D229">
        <v>795</v>
      </c>
    </row>
    <row r="230" spans="1:4" x14ac:dyDescent="0.25">
      <c r="A230" t="s">
        <v>1084</v>
      </c>
      <c r="B230" t="s">
        <v>1085</v>
      </c>
      <c r="C230" t="s">
        <v>1086</v>
      </c>
      <c r="D230">
        <v>796</v>
      </c>
    </row>
    <row r="231" spans="1:4" x14ac:dyDescent="0.25">
      <c r="A231" t="s">
        <v>1087</v>
      </c>
      <c r="B231" t="s">
        <v>1088</v>
      </c>
      <c r="C231" t="s">
        <v>1089</v>
      </c>
      <c r="D231">
        <v>798</v>
      </c>
    </row>
    <row r="232" spans="1:4" x14ac:dyDescent="0.25">
      <c r="A232" t="s">
        <v>1090</v>
      </c>
      <c r="B232" t="s">
        <v>1091</v>
      </c>
      <c r="C232" t="s">
        <v>1092</v>
      </c>
      <c r="D232">
        <v>800</v>
      </c>
    </row>
    <row r="233" spans="1:4" x14ac:dyDescent="0.25">
      <c r="A233" t="s">
        <v>1093</v>
      </c>
      <c r="B233" t="s">
        <v>1094</v>
      </c>
      <c r="C233" t="s">
        <v>1095</v>
      </c>
      <c r="D233">
        <v>804</v>
      </c>
    </row>
    <row r="234" spans="1:4" x14ac:dyDescent="0.25">
      <c r="A234" t="s">
        <v>1096</v>
      </c>
      <c r="B234" t="s">
        <v>1097</v>
      </c>
      <c r="C234" t="s">
        <v>1098</v>
      </c>
      <c r="D234">
        <v>784</v>
      </c>
    </row>
    <row r="235" spans="1:4" x14ac:dyDescent="0.25">
      <c r="A235" t="s">
        <v>1099</v>
      </c>
      <c r="B235" t="s">
        <v>1100</v>
      </c>
      <c r="C235" t="s">
        <v>1101</v>
      </c>
      <c r="D235">
        <v>826</v>
      </c>
    </row>
    <row r="236" spans="1:4" x14ac:dyDescent="0.25">
      <c r="A236" t="s">
        <v>1102</v>
      </c>
      <c r="B236" t="s">
        <v>1103</v>
      </c>
      <c r="C236" t="s">
        <v>1104</v>
      </c>
      <c r="D236">
        <v>581</v>
      </c>
    </row>
    <row r="237" spans="1:4" x14ac:dyDescent="0.25">
      <c r="A237" t="s">
        <v>1105</v>
      </c>
      <c r="B237" t="s">
        <v>1106</v>
      </c>
      <c r="C237" t="s">
        <v>4</v>
      </c>
      <c r="D237">
        <v>840</v>
      </c>
    </row>
    <row r="238" spans="1:4" x14ac:dyDescent="0.25">
      <c r="A238" t="s">
        <v>1107</v>
      </c>
      <c r="B238" t="s">
        <v>1108</v>
      </c>
      <c r="C238" t="s">
        <v>1109</v>
      </c>
      <c r="D238">
        <v>858</v>
      </c>
    </row>
    <row r="239" spans="1:4" x14ac:dyDescent="0.25">
      <c r="A239" t="s">
        <v>1110</v>
      </c>
      <c r="B239" t="s">
        <v>1111</v>
      </c>
      <c r="C239" t="s">
        <v>1112</v>
      </c>
      <c r="D239">
        <v>860</v>
      </c>
    </row>
    <row r="240" spans="1:4" x14ac:dyDescent="0.25">
      <c r="A240" t="s">
        <v>1113</v>
      </c>
      <c r="B240" t="s">
        <v>1114</v>
      </c>
      <c r="C240" t="s">
        <v>1115</v>
      </c>
      <c r="D240">
        <v>548</v>
      </c>
    </row>
    <row r="241" spans="1:4" x14ac:dyDescent="0.25">
      <c r="A241" t="s">
        <v>1116</v>
      </c>
      <c r="B241" t="s">
        <v>1117</v>
      </c>
      <c r="C241" t="s">
        <v>1118</v>
      </c>
      <c r="D241">
        <v>862</v>
      </c>
    </row>
    <row r="242" spans="1:4" x14ac:dyDescent="0.25">
      <c r="A242" t="s">
        <v>1119</v>
      </c>
      <c r="B242" t="s">
        <v>1120</v>
      </c>
      <c r="C242" t="s">
        <v>1121</v>
      </c>
      <c r="D242">
        <v>704</v>
      </c>
    </row>
    <row r="243" spans="1:4" x14ac:dyDescent="0.25">
      <c r="A243" t="s">
        <v>1122</v>
      </c>
      <c r="B243" t="s">
        <v>1123</v>
      </c>
      <c r="C243" t="s">
        <v>1124</v>
      </c>
      <c r="D243">
        <v>92</v>
      </c>
    </row>
    <row r="244" spans="1:4" x14ac:dyDescent="0.25">
      <c r="A244" t="s">
        <v>1125</v>
      </c>
      <c r="B244" t="s">
        <v>1126</v>
      </c>
      <c r="C244" t="s">
        <v>1127</v>
      </c>
      <c r="D244">
        <v>850</v>
      </c>
    </row>
    <row r="245" spans="1:4" x14ac:dyDescent="0.25">
      <c r="A245" t="s">
        <v>1128</v>
      </c>
      <c r="B245" t="s">
        <v>1129</v>
      </c>
      <c r="C245" t="s">
        <v>1130</v>
      </c>
      <c r="D245">
        <v>876</v>
      </c>
    </row>
    <row r="246" spans="1:4" x14ac:dyDescent="0.25">
      <c r="A246" t="s">
        <v>1131</v>
      </c>
      <c r="B246" t="s">
        <v>1132</v>
      </c>
      <c r="C246" t="s">
        <v>1133</v>
      </c>
      <c r="D246">
        <v>732</v>
      </c>
    </row>
    <row r="247" spans="1:4" x14ac:dyDescent="0.25">
      <c r="A247" t="s">
        <v>1134</v>
      </c>
      <c r="B247" t="s">
        <v>1135</v>
      </c>
      <c r="C247" t="s">
        <v>1136</v>
      </c>
      <c r="D247">
        <v>887</v>
      </c>
    </row>
    <row r="248" spans="1:4" x14ac:dyDescent="0.25">
      <c r="A248" t="s">
        <v>1137</v>
      </c>
      <c r="B248" t="s">
        <v>1138</v>
      </c>
      <c r="C248" t="s">
        <v>1139</v>
      </c>
      <c r="D248">
        <v>894</v>
      </c>
    </row>
    <row r="249" spans="1:4" x14ac:dyDescent="0.25">
      <c r="A249" t="s">
        <v>1140</v>
      </c>
      <c r="B249" t="s">
        <v>1141</v>
      </c>
      <c r="C249" t="s">
        <v>1142</v>
      </c>
      <c r="D249">
        <v>716</v>
      </c>
    </row>
    <row r="250" spans="1:4" x14ac:dyDescent="0.25">
      <c r="A250" t="s">
        <v>1143</v>
      </c>
      <c r="B250" t="s">
        <v>1144</v>
      </c>
      <c r="C250" t="s">
        <v>1145</v>
      </c>
      <c r="D250">
        <v>248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00CB2-4C03-4E08-A2A2-C2F4859B5A17}">
  <dimension ref="F5:W525"/>
  <sheetViews>
    <sheetView topLeftCell="F68" workbookViewId="0">
      <selection activeCell="H81" sqref="H81"/>
    </sheetView>
  </sheetViews>
  <sheetFormatPr defaultRowHeight="15" x14ac:dyDescent="0.25"/>
  <cols>
    <col min="8" max="8" width="12" bestFit="1" customWidth="1"/>
    <col min="12" max="13" width="12.140625" customWidth="1"/>
    <col min="15" max="15" width="12" bestFit="1" customWidth="1"/>
  </cols>
  <sheetData>
    <row r="5" spans="7:22" x14ac:dyDescent="0.25">
      <c r="G5" t="s">
        <v>1377</v>
      </c>
      <c r="H5" t="s">
        <v>1378</v>
      </c>
      <c r="I5" t="s">
        <v>1380</v>
      </c>
      <c r="K5" t="s">
        <v>1379</v>
      </c>
    </row>
    <row r="6" spans="7:22" x14ac:dyDescent="0.25">
      <c r="G6" s="48">
        <v>141000000000</v>
      </c>
      <c r="H6" s="48">
        <f>G6/4185000000000</f>
        <v>3.3691756272401431E-2</v>
      </c>
      <c r="I6" s="48">
        <f>8.2508*H6^0.885</f>
        <v>0.41053906648758853</v>
      </c>
      <c r="J6" s="48"/>
      <c r="K6">
        <v>0.41</v>
      </c>
      <c r="L6">
        <f t="shared" ref="L6:L12" si="0">K6/I6</f>
        <v>0.99868693010825837</v>
      </c>
    </row>
    <row r="7" spans="7:22" x14ac:dyDescent="0.25">
      <c r="G7" s="48">
        <v>39000000000</v>
      </c>
      <c r="H7" s="48">
        <f t="shared" ref="H7:H12" si="1">G7/4185000000000</f>
        <v>9.3189964157706102E-3</v>
      </c>
      <c r="I7" s="48">
        <f t="shared" ref="I7:I12" si="2">8.2508*H7^0.885</f>
        <v>0.13163996342865866</v>
      </c>
      <c r="J7" s="48"/>
      <c r="K7">
        <v>0.13</v>
      </c>
      <c r="L7">
        <f t="shared" si="0"/>
        <v>0.98754205496610137</v>
      </c>
    </row>
    <row r="8" spans="7:22" x14ac:dyDescent="0.25">
      <c r="G8" s="48">
        <v>28000000000</v>
      </c>
      <c r="H8" s="48">
        <f t="shared" si="1"/>
        <v>6.690561529271207E-3</v>
      </c>
      <c r="I8" s="48">
        <f t="shared" si="2"/>
        <v>9.818167421028863E-2</v>
      </c>
      <c r="J8" s="48"/>
      <c r="K8">
        <v>9.8000000000000004E-2</v>
      </c>
      <c r="L8">
        <f t="shared" si="0"/>
        <v>0.99814961181147199</v>
      </c>
    </row>
    <row r="9" spans="7:22" x14ac:dyDescent="0.25">
      <c r="G9" s="48">
        <v>30000000000</v>
      </c>
      <c r="H9" s="48">
        <f t="shared" si="1"/>
        <v>7.1684587813620072E-3</v>
      </c>
      <c r="I9" s="48">
        <f t="shared" si="2"/>
        <v>0.10436331994681868</v>
      </c>
      <c r="J9" s="48"/>
      <c r="K9">
        <v>0.1</v>
      </c>
      <c r="L9">
        <f t="shared" si="0"/>
        <v>0.95819105841935537</v>
      </c>
      <c r="Q9" t="s">
        <v>1505</v>
      </c>
      <c r="R9" t="s">
        <v>1503</v>
      </c>
      <c r="U9" t="s">
        <v>1504</v>
      </c>
    </row>
    <row r="10" spans="7:22" x14ac:dyDescent="0.25">
      <c r="G10" s="48">
        <v>31000000000</v>
      </c>
      <c r="H10" s="48">
        <f t="shared" si="1"/>
        <v>7.4074074074074077E-3</v>
      </c>
      <c r="I10" s="48">
        <f t="shared" si="2"/>
        <v>0.10743620885217824</v>
      </c>
      <c r="J10" s="48"/>
      <c r="K10">
        <v>0.11</v>
      </c>
      <c r="L10">
        <f t="shared" si="0"/>
        <v>1.0238633806536239</v>
      </c>
      <c r="Q10">
        <v>1E-3</v>
      </c>
      <c r="R10">
        <v>10</v>
      </c>
      <c r="S10">
        <f>LOG(Q10*COS(RADIANS(R10)))</f>
        <v>-3.0066485410300645</v>
      </c>
      <c r="U10">
        <v>40</v>
      </c>
      <c r="V10">
        <f>$S$20*LOG(Q10*COS(RADIANS(R10)))+$S$21</f>
        <v>42.093079574420905</v>
      </c>
    </row>
    <row r="11" spans="7:22" x14ac:dyDescent="0.25">
      <c r="G11" s="48">
        <v>267000000000</v>
      </c>
      <c r="H11" s="48">
        <f t="shared" si="1"/>
        <v>6.3799283154121866E-2</v>
      </c>
      <c r="I11" s="48">
        <f t="shared" si="2"/>
        <v>0.72236723991621898</v>
      </c>
      <c r="J11" s="48"/>
      <c r="K11">
        <v>0.72</v>
      </c>
      <c r="L11">
        <f t="shared" si="0"/>
        <v>0.99672294120578675</v>
      </c>
      <c r="Q11">
        <v>1E-3</v>
      </c>
      <c r="R11">
        <v>60</v>
      </c>
      <c r="S11">
        <f t="shared" ref="S11:S17" si="3">LOG(Q11*COS(RADIANS(R11)))</f>
        <v>-3.3010299956639813</v>
      </c>
      <c r="U11">
        <v>60</v>
      </c>
      <c r="V11">
        <f t="shared" ref="V11:V17" si="4">$S$20*LOG(Q11*COS(RADIANS(R11)))+$S$21</f>
        <v>46.214419939295738</v>
      </c>
    </row>
    <row r="12" spans="7:22" x14ac:dyDescent="0.25">
      <c r="G12" s="48">
        <v>77000000000</v>
      </c>
      <c r="H12" s="48">
        <f t="shared" si="1"/>
        <v>1.8399044205495818E-2</v>
      </c>
      <c r="I12" s="48">
        <f t="shared" si="2"/>
        <v>0.2403476430042879</v>
      </c>
      <c r="J12" s="48"/>
      <c r="K12">
        <v>0.24</v>
      </c>
      <c r="L12">
        <f t="shared" si="0"/>
        <v>0.99855358263579186</v>
      </c>
      <c r="Q12">
        <v>0.01</v>
      </c>
      <c r="R12">
        <v>10</v>
      </c>
      <c r="S12">
        <f t="shared" si="3"/>
        <v>-2.0066485410300645</v>
      </c>
      <c r="U12">
        <v>15</v>
      </c>
      <c r="V12">
        <f t="shared" si="4"/>
        <v>28.093079574420905</v>
      </c>
    </row>
    <row r="13" spans="7:22" x14ac:dyDescent="0.25">
      <c r="Q13">
        <v>0.01</v>
      </c>
      <c r="R13">
        <v>60</v>
      </c>
      <c r="S13">
        <f t="shared" si="3"/>
        <v>-2.3010299956639813</v>
      </c>
      <c r="U13">
        <v>20</v>
      </c>
      <c r="V13">
        <f t="shared" si="4"/>
        <v>32.214419939295738</v>
      </c>
    </row>
    <row r="14" spans="7:22" x14ac:dyDescent="0.25">
      <c r="Q14">
        <v>0.1</v>
      </c>
      <c r="R14">
        <v>10</v>
      </c>
      <c r="S14">
        <f t="shared" si="3"/>
        <v>-1.0066485410300645</v>
      </c>
      <c r="U14">
        <v>10</v>
      </c>
      <c r="V14">
        <f t="shared" si="4"/>
        <v>14.093079574420903</v>
      </c>
    </row>
    <row r="15" spans="7:22" x14ac:dyDescent="0.25">
      <c r="Q15">
        <v>0.1</v>
      </c>
      <c r="R15">
        <v>60</v>
      </c>
      <c r="S15">
        <f t="shared" si="3"/>
        <v>-1.301029995663981</v>
      </c>
      <c r="U15">
        <v>20</v>
      </c>
      <c r="V15">
        <f t="shared" si="4"/>
        <v>18.214419939295734</v>
      </c>
    </row>
    <row r="16" spans="7:22" x14ac:dyDescent="0.25">
      <c r="Q16">
        <v>1</v>
      </c>
      <c r="R16">
        <v>10</v>
      </c>
      <c r="S16">
        <f t="shared" si="3"/>
        <v>-6.6485410300645038E-3</v>
      </c>
      <c r="U16">
        <v>4</v>
      </c>
      <c r="V16">
        <f t="shared" si="4"/>
        <v>9.3079574420903061E-2</v>
      </c>
    </row>
    <row r="17" spans="6:22" x14ac:dyDescent="0.25">
      <c r="F17" s="48">
        <v>4185000000000</v>
      </c>
      <c r="G17" s="48">
        <f>F17^0.115</f>
        <v>28.281014089680461</v>
      </c>
      <c r="Q17">
        <v>1</v>
      </c>
      <c r="R17">
        <v>60</v>
      </c>
      <c r="S17">
        <f t="shared" si="3"/>
        <v>-0.30102999566398109</v>
      </c>
      <c r="U17">
        <v>8</v>
      </c>
      <c r="V17">
        <f t="shared" si="4"/>
        <v>4.2144199392957349</v>
      </c>
    </row>
    <row r="20" spans="6:22" x14ac:dyDescent="0.25">
      <c r="H20">
        <v>0.1212</v>
      </c>
      <c r="I20">
        <v>0.115</v>
      </c>
      <c r="S20">
        <v>-14</v>
      </c>
    </row>
    <row r="21" spans="6:22" x14ac:dyDescent="0.25">
      <c r="H21">
        <v>8.2507999999999999</v>
      </c>
      <c r="I21">
        <v>0.88500000000000001</v>
      </c>
      <c r="S21">
        <v>0</v>
      </c>
    </row>
    <row r="22" spans="6:22" x14ac:dyDescent="0.25">
      <c r="H22">
        <f>H21/H20</f>
        <v>68.075907590759073</v>
      </c>
      <c r="I22">
        <f>I21/I20</f>
        <v>7.695652173913043</v>
      </c>
    </row>
    <row r="23" spans="6:22" x14ac:dyDescent="0.25">
      <c r="H23" s="48"/>
    </row>
    <row r="24" spans="6:22" x14ac:dyDescent="0.25">
      <c r="R24" t="s">
        <v>1503</v>
      </c>
      <c r="S24">
        <v>70</v>
      </c>
    </row>
    <row r="25" spans="6:22" x14ac:dyDescent="0.25">
      <c r="R25" t="s">
        <v>1506</v>
      </c>
      <c r="S25">
        <v>38</v>
      </c>
    </row>
    <row r="26" spans="6:22" x14ac:dyDescent="0.25">
      <c r="N26">
        <v>1.6105000000000001E-2</v>
      </c>
    </row>
    <row r="27" spans="6:22" x14ac:dyDescent="0.25">
      <c r="N27">
        <v>0.17122999999999999</v>
      </c>
      <c r="R27" t="s">
        <v>1505</v>
      </c>
      <c r="S27">
        <f>(10^((S25-S21)/S20))/COS(RADIANS(S24))</f>
        <v>5.6449825150937192E-3</v>
      </c>
    </row>
    <row r="32" spans="6:22" x14ac:dyDescent="0.25">
      <c r="G32" t="s">
        <v>1450</v>
      </c>
      <c r="H32" t="s">
        <v>1509</v>
      </c>
      <c r="I32" t="s">
        <v>1507</v>
      </c>
      <c r="J32" t="s">
        <v>1514</v>
      </c>
      <c r="K32" t="s">
        <v>1508</v>
      </c>
      <c r="L32" t="s">
        <v>1510</v>
      </c>
      <c r="M32" t="s">
        <v>1515</v>
      </c>
      <c r="N32" t="s">
        <v>1512</v>
      </c>
      <c r="O32" t="s">
        <v>1516</v>
      </c>
      <c r="P32" t="s">
        <v>178</v>
      </c>
      <c r="Q32" t="s">
        <v>1513</v>
      </c>
    </row>
    <row r="33" spans="7:23" x14ac:dyDescent="0.25">
      <c r="G33">
        <v>-0.91</v>
      </c>
      <c r="H33">
        <f t="shared" ref="H33:H44" si="5">10^G33</f>
        <v>0.12302687708123815</v>
      </c>
      <c r="I33">
        <v>20.9</v>
      </c>
      <c r="J33">
        <v>45</v>
      </c>
      <c r="K33">
        <v>38.5</v>
      </c>
      <c r="L33">
        <f t="shared" ref="L33:L44" si="6">H33*I33*I33/2/(4.184*10^9)</f>
        <v>6.4220088644664946E-9</v>
      </c>
      <c r="N33">
        <f>LOG(L33)</f>
        <v>-8.1923290993010909</v>
      </c>
      <c r="O33">
        <f>(EXP((P33-0.16374724)/0.0146659))/COS(RADIANS(J33))</f>
        <v>3.0472004366295285E-5</v>
      </c>
      <c r="P33">
        <f>[1]!TVLOOKUP(K33,$V$38:$W$60,"alt","dens",4)</f>
        <v>6.1580999999999997E-3</v>
      </c>
      <c r="Q33">
        <f>LOG(P33)</f>
        <v>-2.2105532629652065</v>
      </c>
    </row>
    <row r="34" spans="7:23" x14ac:dyDescent="0.25">
      <c r="G34">
        <v>-0.6</v>
      </c>
      <c r="H34">
        <f t="shared" si="5"/>
        <v>0.25118864315095801</v>
      </c>
      <c r="I34">
        <v>10.5</v>
      </c>
      <c r="J34">
        <v>45</v>
      </c>
      <c r="K34">
        <v>46.8</v>
      </c>
      <c r="L34">
        <f t="shared" si="6"/>
        <v>3.3094584019351243E-9</v>
      </c>
      <c r="N34">
        <f t="shared" ref="N34:N47" si="7">LOG(L34)</f>
        <v>-8.4802430733833223</v>
      </c>
      <c r="O34">
        <f t="shared" ref="O34:O47" si="8">(EXP((P34-0.16374724)/0.0146659))/COS(RADIANS(J34))</f>
        <v>2.2913446573949714E-5</v>
      </c>
      <c r="P34">
        <f>[1]!TVLOOKUP(K34,$V$38:$W$60,"alt","dens",4)</f>
        <v>1.9770800000000022E-3</v>
      </c>
      <c r="Q34">
        <f t="shared" ref="Q34:Q47" si="9">LOG(P34)</f>
        <v>-2.703975757163001</v>
      </c>
    </row>
    <row r="35" spans="7:23" x14ac:dyDescent="0.25">
      <c r="G35">
        <v>-0.64</v>
      </c>
      <c r="H35">
        <f t="shared" si="5"/>
        <v>0.22908676527677729</v>
      </c>
      <c r="I35">
        <v>23.1</v>
      </c>
      <c r="J35">
        <v>45</v>
      </c>
      <c r="K35">
        <v>44.1</v>
      </c>
      <c r="L35">
        <f t="shared" si="6"/>
        <v>1.4608387765217633E-8</v>
      </c>
      <c r="N35">
        <f t="shared" si="7"/>
        <v>-7.83539771173891</v>
      </c>
      <c r="O35">
        <f t="shared" si="8"/>
        <v>2.4200743914927992E-5</v>
      </c>
      <c r="P35">
        <f>[1]!TVLOOKUP(K35,$V$38:$W$60,"alt","dens",4)</f>
        <v>2.7787100000000011E-3</v>
      </c>
      <c r="Q35">
        <f t="shared" si="9"/>
        <v>-2.5561567759904102</v>
      </c>
    </row>
    <row r="36" spans="7:23" x14ac:dyDescent="0.25">
      <c r="G36">
        <v>-0.47</v>
      </c>
      <c r="H36">
        <f t="shared" si="5"/>
        <v>0.33884415613920255</v>
      </c>
      <c r="I36">
        <v>13.1</v>
      </c>
      <c r="J36">
        <v>45</v>
      </c>
      <c r="K36">
        <v>30.3</v>
      </c>
      <c r="L36">
        <f t="shared" si="6"/>
        <v>6.9489777288537938E-9</v>
      </c>
      <c r="N36">
        <f t="shared" si="7"/>
        <v>-8.1580790802116709</v>
      </c>
      <c r="O36">
        <f t="shared" si="8"/>
        <v>6.8219069434594662E-5</v>
      </c>
      <c r="P36">
        <f>[1]!TVLOOKUP(K36,$V$38:$W$60,"alt","dens",4)</f>
        <v>1.7977579999999996E-2</v>
      </c>
      <c r="Q36">
        <f t="shared" si="9"/>
        <v>-1.7452687699654821</v>
      </c>
    </row>
    <row r="37" spans="7:23" x14ac:dyDescent="0.25">
      <c r="G37">
        <v>-1.42</v>
      </c>
      <c r="H37">
        <f t="shared" si="5"/>
        <v>3.801893963205611E-2</v>
      </c>
      <c r="I37">
        <v>33.299999999999997</v>
      </c>
      <c r="J37">
        <v>45</v>
      </c>
      <c r="K37">
        <v>43.7</v>
      </c>
      <c r="L37">
        <f t="shared" si="6"/>
        <v>5.0381001396499397E-9</v>
      </c>
      <c r="N37">
        <f t="shared" si="7"/>
        <v>-8.2977332045105587</v>
      </c>
      <c r="O37">
        <f t="shared" si="8"/>
        <v>2.4397509782396716E-5</v>
      </c>
      <c r="P37">
        <f>[1]!TVLOOKUP(K37,$V$38:$W$60,"alt","dens",4)</f>
        <v>2.8974700000000005E-3</v>
      </c>
      <c r="Q37">
        <f t="shared" si="9"/>
        <v>-2.5379810519655419</v>
      </c>
    </row>
    <row r="38" spans="7:23" x14ac:dyDescent="0.25">
      <c r="G38">
        <v>-7.0000000000000007E-2</v>
      </c>
      <c r="H38">
        <f t="shared" si="5"/>
        <v>0.85113803820237643</v>
      </c>
      <c r="I38">
        <v>19.5</v>
      </c>
      <c r="J38">
        <v>45</v>
      </c>
      <c r="K38">
        <v>35.200000000000003</v>
      </c>
      <c r="L38">
        <f t="shared" si="6"/>
        <v>3.8676534300484422E-8</v>
      </c>
      <c r="N38">
        <f t="shared" si="7"/>
        <v>-7.4125524487981629</v>
      </c>
      <c r="O38">
        <f t="shared" si="8"/>
        <v>4.2146022986679156E-5</v>
      </c>
      <c r="P38">
        <f>[1]!TVLOOKUP(K38,$V$38:$W$60,"alt","dens",4)</f>
        <v>1.0914719999999994E-2</v>
      </c>
      <c r="Q38">
        <f t="shared" si="9"/>
        <v>-1.9619874009548128</v>
      </c>
      <c r="V38" t="s">
        <v>1504</v>
      </c>
      <c r="W38" t="s">
        <v>1511</v>
      </c>
    </row>
    <row r="39" spans="7:23" x14ac:dyDescent="0.25">
      <c r="G39">
        <v>-1.2</v>
      </c>
      <c r="H39">
        <f t="shared" si="5"/>
        <v>6.3095734448019317E-2</v>
      </c>
      <c r="I39">
        <v>30.6</v>
      </c>
      <c r="J39">
        <v>45</v>
      </c>
      <c r="K39">
        <v>49.8</v>
      </c>
      <c r="L39">
        <f t="shared" si="6"/>
        <v>7.0602679144057567E-9</v>
      </c>
      <c r="N39">
        <f t="shared" si="7"/>
        <v>-8.1511788185600391</v>
      </c>
      <c r="O39">
        <f t="shared" si="8"/>
        <v>2.1563265697061995E-5</v>
      </c>
      <c r="P39">
        <f>[1]!TVLOOKUP(K39,$V$38:$W$60,"alt","dens",4)</f>
        <v>1.086380000000002E-3</v>
      </c>
      <c r="Q39">
        <f t="shared" si="9"/>
        <v>-2.9640182382491305</v>
      </c>
      <c r="V39">
        <v>-1</v>
      </c>
      <c r="W39">
        <v>1.347</v>
      </c>
    </row>
    <row r="40" spans="7:23" x14ac:dyDescent="0.25">
      <c r="G40">
        <v>-0.97</v>
      </c>
      <c r="H40">
        <f t="shared" si="5"/>
        <v>0.10715193052376064</v>
      </c>
      <c r="I40">
        <v>10.199999999999999</v>
      </c>
      <c r="J40">
        <v>45</v>
      </c>
      <c r="K40">
        <v>59.6</v>
      </c>
      <c r="L40">
        <f t="shared" si="6"/>
        <v>1.3322283522576548E-9</v>
      </c>
      <c r="N40">
        <f t="shared" si="7"/>
        <v>-8.8754213279993639</v>
      </c>
      <c r="O40">
        <f t="shared" si="8"/>
        <v>2.0023687925769546E-5</v>
      </c>
      <c r="Q40" t="e">
        <f t="shared" si="9"/>
        <v>#NUM!</v>
      </c>
      <c r="V40">
        <v>0</v>
      </c>
      <c r="W40">
        <v>1.2250000000000001</v>
      </c>
    </row>
    <row r="41" spans="7:23" x14ac:dyDescent="0.25">
      <c r="G41">
        <v>-2</v>
      </c>
      <c r="H41">
        <f t="shared" si="5"/>
        <v>0.01</v>
      </c>
      <c r="I41">
        <v>13.6</v>
      </c>
      <c r="J41">
        <v>45</v>
      </c>
      <c r="K41">
        <v>73</v>
      </c>
      <c r="L41">
        <f t="shared" si="6"/>
        <v>2.2103250478011474E-10</v>
      </c>
      <c r="N41">
        <f t="shared" si="7"/>
        <v>-9.6555438547827634</v>
      </c>
      <c r="O41">
        <f t="shared" si="8"/>
        <v>2.0023687925769546E-5</v>
      </c>
      <c r="Q41" t="e">
        <f t="shared" si="9"/>
        <v>#NUM!</v>
      </c>
      <c r="V41">
        <v>1</v>
      </c>
      <c r="W41">
        <v>1.1120000000000001</v>
      </c>
    </row>
    <row r="42" spans="7:23" x14ac:dyDescent="0.25">
      <c r="G42">
        <v>-0.48</v>
      </c>
      <c r="H42">
        <f t="shared" si="5"/>
        <v>0.33113112148259105</v>
      </c>
      <c r="I42">
        <v>16.100000000000001</v>
      </c>
      <c r="J42">
        <v>45</v>
      </c>
      <c r="K42">
        <v>38.700000000000003</v>
      </c>
      <c r="L42">
        <f t="shared" si="6"/>
        <v>1.0257229684452969E-8</v>
      </c>
      <c r="N42">
        <f t="shared" si="7"/>
        <v>-7.9889699194594996</v>
      </c>
      <c r="O42">
        <f t="shared" si="8"/>
        <v>2.9878880422068391E-5</v>
      </c>
      <c r="P42">
        <f>[1]!TVLOOKUP(K42,$V$38:$W$60,"alt","dens",4)</f>
        <v>5.8698199999999952E-3</v>
      </c>
      <c r="Q42">
        <f t="shared" si="9"/>
        <v>-2.231375216334214</v>
      </c>
      <c r="V42">
        <v>2</v>
      </c>
      <c r="W42">
        <v>1.0069999999999999</v>
      </c>
    </row>
    <row r="43" spans="7:23" x14ac:dyDescent="0.25">
      <c r="G43">
        <v>-1.52</v>
      </c>
      <c r="H43">
        <f t="shared" si="5"/>
        <v>3.0199517204020147E-2</v>
      </c>
      <c r="I43">
        <v>14.2</v>
      </c>
      <c r="J43">
        <v>45</v>
      </c>
      <c r="K43">
        <v>85.8</v>
      </c>
      <c r="L43">
        <f t="shared" si="6"/>
        <v>7.2770442746398446E-10</v>
      </c>
      <c r="N43">
        <f t="shared" si="7"/>
        <v>-9.1380449827570871</v>
      </c>
      <c r="O43">
        <f t="shared" si="8"/>
        <v>2.0023687925769546E-5</v>
      </c>
      <c r="Q43" t="e">
        <f t="shared" si="9"/>
        <v>#NUM!</v>
      </c>
      <c r="V43">
        <v>3</v>
      </c>
      <c r="W43">
        <v>0.9093</v>
      </c>
    </row>
    <row r="44" spans="7:23" x14ac:dyDescent="0.25">
      <c r="G44">
        <v>-1.07</v>
      </c>
      <c r="H44">
        <f t="shared" si="5"/>
        <v>8.5113803820237616E-2</v>
      </c>
      <c r="I44">
        <v>13</v>
      </c>
      <c r="J44">
        <v>45</v>
      </c>
      <c r="K44">
        <v>45.3</v>
      </c>
      <c r="L44">
        <f t="shared" si="6"/>
        <v>1.7189570800215291E-9</v>
      </c>
      <c r="N44">
        <f t="shared" si="7"/>
        <v>-8.7647349669095256</v>
      </c>
      <c r="O44">
        <f t="shared" si="8"/>
        <v>2.3619916719793018E-5</v>
      </c>
      <c r="P44">
        <f>[1]!TVLOOKUP(K44,$V$38:$W$60,"alt","dens",4)</f>
        <v>2.4224300000000023E-3</v>
      </c>
      <c r="Q44">
        <f t="shared" si="9"/>
        <v>-2.6157487637314656</v>
      </c>
      <c r="V44">
        <v>4</v>
      </c>
      <c r="W44">
        <v>0.81940000000000002</v>
      </c>
    </row>
    <row r="45" spans="7:23" x14ac:dyDescent="0.25">
      <c r="H45">
        <v>150000</v>
      </c>
      <c r="I45">
        <v>15.83</v>
      </c>
      <c r="J45">
        <v>23.86</v>
      </c>
      <c r="K45">
        <v>19.73</v>
      </c>
      <c r="L45">
        <f>H45*I45*I45/2/(4.184*10^9)</f>
        <v>4.4919138384321225E-3</v>
      </c>
      <c r="M45">
        <f t="shared" ref="M45:M47" si="10">L45*COS(RADIANS(J45))</f>
        <v>4.108019495189943E-3</v>
      </c>
      <c r="N45">
        <f t="shared" si="7"/>
        <v>-2.3475685827428059</v>
      </c>
      <c r="O45">
        <f t="shared" si="8"/>
        <v>9.8175870685623841E-3</v>
      </c>
      <c r="P45">
        <f>[1]!TVLOOKUP(K45,$V$38:$W$60,"alt","dens",4)</f>
        <v>9.462806E-2</v>
      </c>
      <c r="Q45">
        <f t="shared" si="9"/>
        <v>-1.023980063427117</v>
      </c>
      <c r="V45">
        <v>5</v>
      </c>
      <c r="W45">
        <v>0.73640000000000005</v>
      </c>
    </row>
    <row r="46" spans="7:23" x14ac:dyDescent="0.25">
      <c r="H46">
        <v>10642617000</v>
      </c>
      <c r="I46">
        <v>19.16</v>
      </c>
      <c r="J46">
        <v>71.7</v>
      </c>
      <c r="K46">
        <v>12.6</v>
      </c>
      <c r="L46">
        <f>H46*I46*I46/2/(4.184*10^9)</f>
        <v>466.8934392154876</v>
      </c>
      <c r="M46">
        <f t="shared" si="10"/>
        <v>146.60101765433922</v>
      </c>
      <c r="N46">
        <f t="shared" si="7"/>
        <v>2.6692177712695724</v>
      </c>
      <c r="O46">
        <f t="shared" si="8"/>
        <v>4711.77370260934</v>
      </c>
      <c r="P46">
        <v>0.27079999999999999</v>
      </c>
      <c r="Q46">
        <f t="shared" si="9"/>
        <v>-0.56735133998689335</v>
      </c>
      <c r="V46">
        <v>6</v>
      </c>
      <c r="W46">
        <v>0.66010000000000002</v>
      </c>
    </row>
    <row r="47" spans="7:23" x14ac:dyDescent="0.25">
      <c r="H47">
        <v>9023000</v>
      </c>
      <c r="I47">
        <v>19.5</v>
      </c>
      <c r="J47">
        <v>29</v>
      </c>
      <c r="K47">
        <v>17.5</v>
      </c>
      <c r="L47">
        <f>H47*I47*I47/2/(4.184*10^9)</f>
        <v>0.41001383245697898</v>
      </c>
      <c r="M47">
        <f t="shared" si="10"/>
        <v>0.3586061780666242</v>
      </c>
      <c r="N47">
        <f t="shared" si="7"/>
        <v>-0.38720149143050314</v>
      </c>
      <c r="O47">
        <f t="shared" si="8"/>
        <v>0.32502082998654086</v>
      </c>
      <c r="P47">
        <v>0.14530000000000001</v>
      </c>
      <c r="Q47">
        <f t="shared" si="9"/>
        <v>-0.83773438570197845</v>
      </c>
      <c r="V47">
        <v>7</v>
      </c>
      <c r="W47">
        <v>0.59</v>
      </c>
    </row>
    <row r="48" spans="7:23" x14ac:dyDescent="0.25">
      <c r="V48">
        <v>8</v>
      </c>
      <c r="W48">
        <v>0.52580000000000005</v>
      </c>
    </row>
    <row r="49" spans="9:23" x14ac:dyDescent="0.25">
      <c r="V49">
        <v>9</v>
      </c>
      <c r="W49">
        <v>0.46710000000000002</v>
      </c>
    </row>
    <row r="50" spans="9:23" x14ac:dyDescent="0.25">
      <c r="V50">
        <v>10</v>
      </c>
      <c r="W50">
        <v>0.41349999999999998</v>
      </c>
    </row>
    <row r="51" spans="9:23" x14ac:dyDescent="0.25">
      <c r="V51">
        <v>15</v>
      </c>
      <c r="W51">
        <v>0.1948</v>
      </c>
    </row>
    <row r="52" spans="9:23" x14ac:dyDescent="0.25">
      <c r="V52">
        <v>20</v>
      </c>
      <c r="W52">
        <v>8.8910000000000003E-2</v>
      </c>
    </row>
    <row r="53" spans="9:23" x14ac:dyDescent="0.25">
      <c r="I53">
        <f>AVERAGE(I54:I90)</f>
        <v>41.649889275011802</v>
      </c>
      <c r="V53">
        <v>25</v>
      </c>
      <c r="W53">
        <v>4.0079999999999998E-2</v>
      </c>
    </row>
    <row r="54" spans="9:23" x14ac:dyDescent="0.25">
      <c r="V54">
        <v>30</v>
      </c>
      <c r="W54">
        <v>1.8409999999999999E-2</v>
      </c>
    </row>
    <row r="55" spans="9:23" x14ac:dyDescent="0.25">
      <c r="I55">
        <v>33.299999999999997</v>
      </c>
      <c r="V55">
        <v>40</v>
      </c>
      <c r="W55">
        <v>3.9960000000000004E-3</v>
      </c>
    </row>
    <row r="56" spans="9:23" x14ac:dyDescent="0.25">
      <c r="I56">
        <v>68.400000000000006</v>
      </c>
      <c r="V56">
        <v>50</v>
      </c>
      <c r="W56">
        <v>1.0269999999999999E-3</v>
      </c>
    </row>
    <row r="57" spans="9:23" x14ac:dyDescent="0.25">
      <c r="I57">
        <v>38.299999999999997</v>
      </c>
      <c r="V57">
        <v>60</v>
      </c>
      <c r="W57">
        <v>3.0969999999999999E-4</v>
      </c>
    </row>
    <row r="58" spans="9:23" x14ac:dyDescent="0.25">
      <c r="I58">
        <v>51.2</v>
      </c>
      <c r="V58">
        <v>70</v>
      </c>
      <c r="W58">
        <v>8.2830000000000005E-5</v>
      </c>
    </row>
    <row r="59" spans="9:23" x14ac:dyDescent="0.25">
      <c r="I59">
        <v>44.8</v>
      </c>
      <c r="V59">
        <v>80</v>
      </c>
      <c r="W59">
        <v>1.8459999999999999E-5</v>
      </c>
    </row>
    <row r="60" spans="9:23" x14ac:dyDescent="0.25">
      <c r="I60">
        <v>27.3</v>
      </c>
      <c r="V60">
        <v>90</v>
      </c>
      <c r="W60" s="48">
        <v>1.0000000000000001E-5</v>
      </c>
    </row>
    <row r="61" spans="9:23" x14ac:dyDescent="0.25">
      <c r="I61">
        <v>44.5</v>
      </c>
    </row>
    <row r="62" spans="9:23" x14ac:dyDescent="0.25">
      <c r="I62">
        <v>74.599999999999994</v>
      </c>
    </row>
    <row r="63" spans="9:23" x14ac:dyDescent="0.25">
      <c r="I63">
        <v>43.2</v>
      </c>
    </row>
    <row r="64" spans="9:23" x14ac:dyDescent="0.25">
      <c r="I64">
        <v>47.2</v>
      </c>
    </row>
    <row r="65" spans="7:16" x14ac:dyDescent="0.25">
      <c r="I65">
        <v>55.3</v>
      </c>
    </row>
    <row r="66" spans="7:16" x14ac:dyDescent="0.25">
      <c r="I66">
        <v>43.8</v>
      </c>
    </row>
    <row r="67" spans="7:16" x14ac:dyDescent="0.25">
      <c r="I67">
        <v>44.7</v>
      </c>
    </row>
    <row r="68" spans="7:16" x14ac:dyDescent="0.25">
      <c r="I68">
        <v>59</v>
      </c>
    </row>
    <row r="69" spans="7:16" x14ac:dyDescent="0.25">
      <c r="I69">
        <v>49.3</v>
      </c>
    </row>
    <row r="70" spans="7:16" x14ac:dyDescent="0.25">
      <c r="I70">
        <v>44.4</v>
      </c>
    </row>
    <row r="71" spans="7:16" x14ac:dyDescent="0.25">
      <c r="O71">
        <f>AVERAGE(O75:O79)</f>
        <v>1.5730851188016547E-2</v>
      </c>
      <c r="P71">
        <v>38.140322337839059</v>
      </c>
    </row>
    <row r="72" spans="7:16" x14ac:dyDescent="0.25">
      <c r="L72">
        <v>-90</v>
      </c>
      <c r="M72">
        <v>0.01</v>
      </c>
      <c r="N72">
        <f>38.14/(ABS(L72-50)+19.07)</f>
        <v>0.23976865530898347</v>
      </c>
      <c r="O72">
        <f>(N72-M72)^2</f>
        <v>5.2793634962498455E-2</v>
      </c>
      <c r="P72">
        <v>19.070161168919533</v>
      </c>
    </row>
    <row r="73" spans="7:16" x14ac:dyDescent="0.25">
      <c r="L73">
        <v>-10</v>
      </c>
      <c r="M73">
        <v>0.05</v>
      </c>
      <c r="N73">
        <f t="shared" ref="N73:N82" si="11">38.14/(ABS(L73-50)+19.07)</f>
        <v>0.4823574048311623</v>
      </c>
      <c r="O73">
        <f t="shared" ref="O73:O82" si="12">(N73-M73)^2</f>
        <v>0.18693292551233756</v>
      </c>
    </row>
    <row r="74" spans="7:16" x14ac:dyDescent="0.25">
      <c r="L74">
        <v>0</v>
      </c>
      <c r="M74">
        <v>0.1</v>
      </c>
      <c r="N74">
        <f t="shared" si="11"/>
        <v>0.55219342695815843</v>
      </c>
      <c r="O74">
        <f t="shared" si="12"/>
        <v>0.20447889538416339</v>
      </c>
    </row>
    <row r="75" spans="7:16" x14ac:dyDescent="0.25">
      <c r="H75" t="s">
        <v>1634</v>
      </c>
      <c r="L75">
        <v>10</v>
      </c>
      <c r="M75">
        <v>0.5</v>
      </c>
      <c r="N75">
        <f t="shared" si="11"/>
        <v>0.64567462332825465</v>
      </c>
      <c r="O75">
        <f t="shared" si="12"/>
        <v>2.1221095881828873E-2</v>
      </c>
    </row>
    <row r="76" spans="7:16" x14ac:dyDescent="0.25">
      <c r="G76" t="s">
        <v>1635</v>
      </c>
      <c r="H76">
        <v>0</v>
      </c>
      <c r="I76">
        <f>70*EXP(-0.006*H76)</f>
        <v>70</v>
      </c>
      <c r="L76">
        <v>25</v>
      </c>
      <c r="M76">
        <v>1</v>
      </c>
      <c r="N76">
        <f t="shared" si="11"/>
        <v>0.86544134331744949</v>
      </c>
      <c r="O76">
        <f t="shared" si="12"/>
        <v>1.8106032088212497E-2</v>
      </c>
    </row>
    <row r="77" spans="7:16" x14ac:dyDescent="0.25">
      <c r="G77" t="s">
        <v>1334</v>
      </c>
      <c r="H77">
        <v>0</v>
      </c>
      <c r="I77">
        <f>70*EXP(-0.006*H77)</f>
        <v>70</v>
      </c>
      <c r="L77">
        <v>50</v>
      </c>
      <c r="M77">
        <v>2</v>
      </c>
      <c r="N77">
        <f t="shared" si="11"/>
        <v>2</v>
      </c>
      <c r="O77">
        <f t="shared" si="12"/>
        <v>0</v>
      </c>
    </row>
    <row r="78" spans="7:16" x14ac:dyDescent="0.25">
      <c r="L78">
        <v>75</v>
      </c>
      <c r="M78">
        <v>1</v>
      </c>
      <c r="N78">
        <f t="shared" si="11"/>
        <v>0.86544134331744949</v>
      </c>
      <c r="O78">
        <f t="shared" si="12"/>
        <v>1.8106032088212497E-2</v>
      </c>
    </row>
    <row r="79" spans="7:16" x14ac:dyDescent="0.25">
      <c r="H79" t="s">
        <v>1636</v>
      </c>
      <c r="L79">
        <v>90</v>
      </c>
      <c r="M79">
        <v>0.5</v>
      </c>
      <c r="N79">
        <f t="shared" si="11"/>
        <v>0.64567462332825465</v>
      </c>
      <c r="O79">
        <f t="shared" si="12"/>
        <v>2.1221095881828873E-2</v>
      </c>
    </row>
    <row r="80" spans="7:16" x14ac:dyDescent="0.25">
      <c r="G80" t="s">
        <v>1635</v>
      </c>
      <c r="H80">
        <v>50</v>
      </c>
      <c r="I80">
        <f>38.14/(ABS(H80-50)+19.07)</f>
        <v>2</v>
      </c>
      <c r="L80">
        <v>100</v>
      </c>
      <c r="M80">
        <v>0.1</v>
      </c>
      <c r="N80">
        <f t="shared" si="11"/>
        <v>0.55219342695815843</v>
      </c>
      <c r="O80">
        <f t="shared" si="12"/>
        <v>0.20447889538416339</v>
      </c>
    </row>
    <row r="81" spans="7:15" x14ac:dyDescent="0.25">
      <c r="G81" t="s">
        <v>1334</v>
      </c>
      <c r="H81">
        <v>50</v>
      </c>
      <c r="I81">
        <f>38.14/(ABS(H81-50)+19.07)</f>
        <v>2</v>
      </c>
      <c r="L81">
        <v>105</v>
      </c>
      <c r="M81">
        <v>0.05</v>
      </c>
      <c r="N81">
        <f t="shared" si="11"/>
        <v>0.51491832050762798</v>
      </c>
      <c r="O81">
        <f t="shared" si="12"/>
        <v>0.2161490447436335</v>
      </c>
    </row>
    <row r="82" spans="7:15" x14ac:dyDescent="0.25">
      <c r="L82">
        <v>150</v>
      </c>
      <c r="M82">
        <v>0.01</v>
      </c>
      <c r="N82">
        <f t="shared" si="11"/>
        <v>0.32031578063324095</v>
      </c>
      <c r="O82">
        <f t="shared" si="12"/>
        <v>9.629588371001771E-2</v>
      </c>
    </row>
    <row r="83" spans="7:15" x14ac:dyDescent="0.25">
      <c r="H83" t="s">
        <v>1503</v>
      </c>
    </row>
    <row r="84" spans="7:15" x14ac:dyDescent="0.25">
      <c r="G84" t="s">
        <v>1635</v>
      </c>
      <c r="H84">
        <v>45</v>
      </c>
      <c r="I84">
        <f>ABS(COS(RADIANS(2*H84)))+1</f>
        <v>1</v>
      </c>
    </row>
    <row r="85" spans="7:15" x14ac:dyDescent="0.25">
      <c r="G85" t="s">
        <v>1334</v>
      </c>
      <c r="H85">
        <v>92</v>
      </c>
      <c r="I85">
        <f>ABS(COS(RADIANS(2*H85)))+1</f>
        <v>1.9975640502598242</v>
      </c>
    </row>
    <row r="87" spans="7:15" x14ac:dyDescent="0.25">
      <c r="L87" t="s">
        <v>1633</v>
      </c>
    </row>
    <row r="88" spans="7:15" x14ac:dyDescent="0.25">
      <c r="L88">
        <v>0</v>
      </c>
      <c r="M88">
        <v>50</v>
      </c>
      <c r="N88">
        <f>70*EXP(-0.006*L88)</f>
        <v>70</v>
      </c>
    </row>
    <row r="89" spans="7:15" x14ac:dyDescent="0.25">
      <c r="L89">
        <v>25</v>
      </c>
      <c r="M89">
        <v>50</v>
      </c>
      <c r="N89">
        <f t="shared" ref="N89:N97" si="13">70*EXP(-0.006*L89)</f>
        <v>60.249558349754047</v>
      </c>
    </row>
    <row r="90" spans="7:15" x14ac:dyDescent="0.25">
      <c r="L90">
        <v>50</v>
      </c>
      <c r="M90">
        <v>50</v>
      </c>
      <c r="N90">
        <f t="shared" si="13"/>
        <v>51.857275447720248</v>
      </c>
    </row>
    <row r="91" spans="7:15" x14ac:dyDescent="0.25">
      <c r="I91" t="s">
        <v>1637</v>
      </c>
      <c r="L91">
        <v>100</v>
      </c>
      <c r="M91">
        <v>40</v>
      </c>
      <c r="N91">
        <f t="shared" si="13"/>
        <v>38.416814526581845</v>
      </c>
    </row>
    <row r="92" spans="7:15" x14ac:dyDescent="0.25">
      <c r="G92" t="s">
        <v>1635</v>
      </c>
      <c r="I92">
        <f>I76*I80*I84</f>
        <v>140</v>
      </c>
      <c r="L92">
        <v>200</v>
      </c>
      <c r="M92">
        <v>30</v>
      </c>
      <c r="N92">
        <f t="shared" si="13"/>
        <v>21.08359483385415</v>
      </c>
    </row>
    <row r="93" spans="7:15" x14ac:dyDescent="0.25">
      <c r="G93" t="s">
        <v>1334</v>
      </c>
      <c r="I93">
        <f>I77*I81*I85</f>
        <v>279.65896703637537</v>
      </c>
      <c r="L93">
        <v>300</v>
      </c>
      <c r="M93">
        <v>20</v>
      </c>
      <c r="N93">
        <f t="shared" si="13"/>
        <v>11.570922175511058</v>
      </c>
    </row>
    <row r="94" spans="7:15" x14ac:dyDescent="0.25">
      <c r="L94">
        <v>400</v>
      </c>
      <c r="M94">
        <v>10</v>
      </c>
      <c r="N94">
        <f t="shared" si="13"/>
        <v>6.3502567302588755</v>
      </c>
    </row>
    <row r="95" spans="7:15" x14ac:dyDescent="0.25">
      <c r="L95">
        <v>500</v>
      </c>
      <c r="M95">
        <v>4</v>
      </c>
      <c r="N95">
        <f t="shared" si="13"/>
        <v>3.4850947857504759</v>
      </c>
    </row>
    <row r="96" spans="7:15" x14ac:dyDescent="0.25">
      <c r="L96">
        <v>600</v>
      </c>
      <c r="M96">
        <v>2</v>
      </c>
      <c r="N96">
        <f t="shared" si="13"/>
        <v>1.9126605713104792</v>
      </c>
    </row>
    <row r="97" spans="9:14" x14ac:dyDescent="0.25">
      <c r="L97">
        <v>600</v>
      </c>
      <c r="M97">
        <v>1</v>
      </c>
      <c r="N97">
        <f t="shared" si="13"/>
        <v>1.9126605713104792</v>
      </c>
    </row>
    <row r="105" spans="9:14" x14ac:dyDescent="0.25">
      <c r="I105">
        <v>0</v>
      </c>
      <c r="J105">
        <f>ABS(COS(RADIANS(2*I105)))+1</f>
        <v>2</v>
      </c>
    </row>
    <row r="106" spans="9:14" x14ac:dyDescent="0.25">
      <c r="I106">
        <v>1</v>
      </c>
      <c r="J106">
        <f>ABS(COS(RADIANS(2*I106)))+1</f>
        <v>1.9993908270190959</v>
      </c>
    </row>
    <row r="107" spans="9:14" x14ac:dyDescent="0.25">
      <c r="I107">
        <v>2</v>
      </c>
      <c r="J107">
        <f t="shared" ref="J107:J169" si="14">ABS(COS(RADIANS(2*I107)))+1</f>
        <v>1.9975640502598242</v>
      </c>
    </row>
    <row r="108" spans="9:14" x14ac:dyDescent="0.25">
      <c r="I108">
        <v>3</v>
      </c>
      <c r="J108">
        <f t="shared" si="14"/>
        <v>1.9945218953682733</v>
      </c>
    </row>
    <row r="109" spans="9:14" x14ac:dyDescent="0.25">
      <c r="I109">
        <v>4</v>
      </c>
      <c r="J109">
        <f t="shared" si="14"/>
        <v>1.9902680687415704</v>
      </c>
    </row>
    <row r="110" spans="9:14" x14ac:dyDescent="0.25">
      <c r="I110">
        <v>5</v>
      </c>
      <c r="J110">
        <f t="shared" si="14"/>
        <v>1.9848077530122081</v>
      </c>
    </row>
    <row r="111" spans="9:14" x14ac:dyDescent="0.25">
      <c r="I111">
        <v>6</v>
      </c>
      <c r="J111">
        <f t="shared" si="14"/>
        <v>1.9781476007338057</v>
      </c>
    </row>
    <row r="112" spans="9:14" x14ac:dyDescent="0.25">
      <c r="I112">
        <v>7</v>
      </c>
      <c r="J112">
        <f t="shared" si="14"/>
        <v>1.9702957262759964</v>
      </c>
    </row>
    <row r="113" spans="9:10" x14ac:dyDescent="0.25">
      <c r="I113">
        <v>8</v>
      </c>
      <c r="J113">
        <f t="shared" si="14"/>
        <v>1.9612616959383189</v>
      </c>
    </row>
    <row r="114" spans="9:10" x14ac:dyDescent="0.25">
      <c r="I114">
        <v>9</v>
      </c>
      <c r="J114">
        <f t="shared" si="14"/>
        <v>1.9510565162951536</v>
      </c>
    </row>
    <row r="115" spans="9:10" x14ac:dyDescent="0.25">
      <c r="I115">
        <v>10</v>
      </c>
      <c r="J115">
        <f t="shared" si="14"/>
        <v>1.9396926207859084</v>
      </c>
    </row>
    <row r="116" spans="9:10" x14ac:dyDescent="0.25">
      <c r="I116">
        <v>11</v>
      </c>
      <c r="J116">
        <f t="shared" si="14"/>
        <v>1.9271838545667874</v>
      </c>
    </row>
    <row r="117" spans="9:10" x14ac:dyDescent="0.25">
      <c r="I117">
        <v>12</v>
      </c>
      <c r="J117">
        <f t="shared" si="14"/>
        <v>1.9135454576426008</v>
      </c>
    </row>
    <row r="118" spans="9:10" x14ac:dyDescent="0.25">
      <c r="I118">
        <v>13</v>
      </c>
      <c r="J118">
        <f t="shared" si="14"/>
        <v>1.898794046299167</v>
      </c>
    </row>
    <row r="119" spans="9:10" x14ac:dyDescent="0.25">
      <c r="I119">
        <v>14</v>
      </c>
      <c r="J119">
        <f t="shared" si="14"/>
        <v>1.882947592858927</v>
      </c>
    </row>
    <row r="120" spans="9:10" x14ac:dyDescent="0.25">
      <c r="I120">
        <v>15</v>
      </c>
      <c r="J120">
        <f t="shared" si="14"/>
        <v>1.8660254037844388</v>
      </c>
    </row>
    <row r="121" spans="9:10" x14ac:dyDescent="0.25">
      <c r="I121">
        <v>16</v>
      </c>
      <c r="J121">
        <f t="shared" si="14"/>
        <v>1.8480480961564258</v>
      </c>
    </row>
    <row r="122" spans="9:10" x14ac:dyDescent="0.25">
      <c r="I122">
        <v>17</v>
      </c>
      <c r="J122">
        <f t="shared" si="14"/>
        <v>1.8290375725550416</v>
      </c>
    </row>
    <row r="123" spans="9:10" x14ac:dyDescent="0.25">
      <c r="I123">
        <v>18</v>
      </c>
      <c r="J123">
        <f t="shared" si="14"/>
        <v>1.8090169943749475</v>
      </c>
    </row>
    <row r="124" spans="9:10" x14ac:dyDescent="0.25">
      <c r="I124">
        <v>19</v>
      </c>
      <c r="J124">
        <f t="shared" si="14"/>
        <v>1.7880107536067218</v>
      </c>
    </row>
    <row r="125" spans="9:10" x14ac:dyDescent="0.25">
      <c r="I125">
        <v>20</v>
      </c>
      <c r="J125">
        <f t="shared" si="14"/>
        <v>1.7660444431189779</v>
      </c>
    </row>
    <row r="126" spans="9:10" x14ac:dyDescent="0.25">
      <c r="I126">
        <v>21</v>
      </c>
      <c r="J126">
        <f t="shared" si="14"/>
        <v>1.7431448254773942</v>
      </c>
    </row>
    <row r="127" spans="9:10" x14ac:dyDescent="0.25">
      <c r="I127">
        <v>22</v>
      </c>
      <c r="J127">
        <f t="shared" si="14"/>
        <v>1.7193398003386511</v>
      </c>
    </row>
    <row r="128" spans="9:10" x14ac:dyDescent="0.25">
      <c r="I128">
        <v>23</v>
      </c>
      <c r="J128">
        <f t="shared" si="14"/>
        <v>1.6946583704589973</v>
      </c>
    </row>
    <row r="129" spans="9:10" x14ac:dyDescent="0.25">
      <c r="I129">
        <v>24</v>
      </c>
      <c r="J129">
        <f t="shared" si="14"/>
        <v>1.6691306063588582</v>
      </c>
    </row>
    <row r="130" spans="9:10" x14ac:dyDescent="0.25">
      <c r="I130">
        <v>25</v>
      </c>
      <c r="J130">
        <f t="shared" si="14"/>
        <v>1.6427876096865393</v>
      </c>
    </row>
    <row r="131" spans="9:10" x14ac:dyDescent="0.25">
      <c r="I131">
        <v>26</v>
      </c>
      <c r="J131">
        <f t="shared" si="14"/>
        <v>1.6156614753256582</v>
      </c>
    </row>
    <row r="132" spans="9:10" x14ac:dyDescent="0.25">
      <c r="I132">
        <v>27</v>
      </c>
      <c r="J132">
        <f t="shared" si="14"/>
        <v>1.5877852522924731</v>
      </c>
    </row>
    <row r="133" spans="9:10" x14ac:dyDescent="0.25">
      <c r="I133">
        <v>28</v>
      </c>
      <c r="J133">
        <f t="shared" si="14"/>
        <v>1.5591929034707468</v>
      </c>
    </row>
    <row r="134" spans="9:10" x14ac:dyDescent="0.25">
      <c r="I134">
        <v>29</v>
      </c>
      <c r="J134">
        <f t="shared" si="14"/>
        <v>1.5299192642332049</v>
      </c>
    </row>
    <row r="135" spans="9:10" x14ac:dyDescent="0.25">
      <c r="I135">
        <v>30</v>
      </c>
      <c r="J135">
        <f t="shared" si="14"/>
        <v>1.5</v>
      </c>
    </row>
    <row r="136" spans="9:10" x14ac:dyDescent="0.25">
      <c r="I136">
        <v>31</v>
      </c>
      <c r="J136">
        <f t="shared" si="14"/>
        <v>1.4694715627858908</v>
      </c>
    </row>
    <row r="137" spans="9:10" x14ac:dyDescent="0.25">
      <c r="I137">
        <v>32</v>
      </c>
      <c r="J137">
        <f t="shared" si="14"/>
        <v>1.4383711467890774</v>
      </c>
    </row>
    <row r="138" spans="9:10" x14ac:dyDescent="0.25">
      <c r="I138">
        <v>33</v>
      </c>
      <c r="J138">
        <f t="shared" si="14"/>
        <v>1.4067366430758002</v>
      </c>
    </row>
    <row r="139" spans="9:10" x14ac:dyDescent="0.25">
      <c r="I139">
        <v>34</v>
      </c>
      <c r="J139">
        <f t="shared" si="14"/>
        <v>1.374606593415912</v>
      </c>
    </row>
    <row r="140" spans="9:10" x14ac:dyDescent="0.25">
      <c r="I140">
        <v>35</v>
      </c>
      <c r="J140">
        <f t="shared" si="14"/>
        <v>1.3420201433256689</v>
      </c>
    </row>
    <row r="141" spans="9:10" x14ac:dyDescent="0.25">
      <c r="I141">
        <v>36</v>
      </c>
      <c r="J141">
        <f t="shared" si="14"/>
        <v>1.3090169943749475</v>
      </c>
    </row>
    <row r="142" spans="9:10" x14ac:dyDescent="0.25">
      <c r="I142">
        <v>37</v>
      </c>
      <c r="J142">
        <f t="shared" si="14"/>
        <v>1.2756373558169991</v>
      </c>
    </row>
    <row r="143" spans="9:10" x14ac:dyDescent="0.25">
      <c r="I143">
        <v>38</v>
      </c>
      <c r="J143">
        <f t="shared" si="14"/>
        <v>1.2419218955996676</v>
      </c>
    </row>
    <row r="144" spans="9:10" x14ac:dyDescent="0.25">
      <c r="I144">
        <v>39</v>
      </c>
      <c r="J144">
        <f t="shared" si="14"/>
        <v>1.2079116908177594</v>
      </c>
    </row>
    <row r="145" spans="9:10" x14ac:dyDescent="0.25">
      <c r="I145">
        <v>40</v>
      </c>
      <c r="J145">
        <f t="shared" si="14"/>
        <v>1.1736481776669305</v>
      </c>
    </row>
    <row r="146" spans="9:10" x14ac:dyDescent="0.25">
      <c r="I146">
        <v>41</v>
      </c>
      <c r="J146">
        <f t="shared" si="14"/>
        <v>1.1391731009600654</v>
      </c>
    </row>
    <row r="147" spans="9:10" x14ac:dyDescent="0.25">
      <c r="I147">
        <v>42</v>
      </c>
      <c r="J147">
        <f t="shared" si="14"/>
        <v>1.1045284632676535</v>
      </c>
    </row>
    <row r="148" spans="9:10" x14ac:dyDescent="0.25">
      <c r="I148">
        <v>43</v>
      </c>
      <c r="J148">
        <f t="shared" si="14"/>
        <v>1.0697564737441252</v>
      </c>
    </row>
    <row r="149" spans="9:10" x14ac:dyDescent="0.25">
      <c r="I149">
        <v>44</v>
      </c>
      <c r="J149">
        <f t="shared" si="14"/>
        <v>1.0348994967025011</v>
      </c>
    </row>
    <row r="150" spans="9:10" x14ac:dyDescent="0.25">
      <c r="I150">
        <v>45</v>
      </c>
      <c r="J150">
        <f t="shared" si="14"/>
        <v>1</v>
      </c>
    </row>
    <row r="151" spans="9:10" x14ac:dyDescent="0.25">
      <c r="I151">
        <v>46</v>
      </c>
      <c r="J151">
        <f t="shared" si="14"/>
        <v>1.0348994967025009</v>
      </c>
    </row>
    <row r="152" spans="9:10" x14ac:dyDescent="0.25">
      <c r="I152">
        <v>47</v>
      </c>
      <c r="J152">
        <f t="shared" si="14"/>
        <v>1.0697564737441254</v>
      </c>
    </row>
    <row r="153" spans="9:10" x14ac:dyDescent="0.25">
      <c r="I153">
        <v>48</v>
      </c>
      <c r="J153">
        <f t="shared" si="14"/>
        <v>1.1045284632676535</v>
      </c>
    </row>
    <row r="154" spans="9:10" x14ac:dyDescent="0.25">
      <c r="I154">
        <v>49</v>
      </c>
      <c r="J154">
        <f t="shared" si="14"/>
        <v>1.1391731009600654</v>
      </c>
    </row>
    <row r="155" spans="9:10" x14ac:dyDescent="0.25">
      <c r="I155">
        <v>50</v>
      </c>
      <c r="J155">
        <f t="shared" si="14"/>
        <v>1.1736481776669303</v>
      </c>
    </row>
    <row r="156" spans="9:10" x14ac:dyDescent="0.25">
      <c r="I156">
        <v>51</v>
      </c>
      <c r="J156">
        <f t="shared" si="14"/>
        <v>1.2079116908177594</v>
      </c>
    </row>
    <row r="157" spans="9:10" x14ac:dyDescent="0.25">
      <c r="I157">
        <v>52</v>
      </c>
      <c r="J157">
        <f t="shared" si="14"/>
        <v>1.2419218955996678</v>
      </c>
    </row>
    <row r="158" spans="9:10" x14ac:dyDescent="0.25">
      <c r="I158">
        <v>53</v>
      </c>
      <c r="J158">
        <f t="shared" si="14"/>
        <v>1.2756373558169991</v>
      </c>
    </row>
    <row r="159" spans="9:10" x14ac:dyDescent="0.25">
      <c r="I159">
        <v>54</v>
      </c>
      <c r="J159">
        <f t="shared" si="14"/>
        <v>1.3090169943749475</v>
      </c>
    </row>
    <row r="160" spans="9:10" x14ac:dyDescent="0.25">
      <c r="I160">
        <v>55</v>
      </c>
      <c r="J160">
        <f t="shared" si="14"/>
        <v>1.3420201433256687</v>
      </c>
    </row>
    <row r="161" spans="9:10" x14ac:dyDescent="0.25">
      <c r="I161">
        <v>56</v>
      </c>
      <c r="J161">
        <f t="shared" si="14"/>
        <v>1.374606593415912</v>
      </c>
    </row>
    <row r="162" spans="9:10" x14ac:dyDescent="0.25">
      <c r="I162">
        <v>57</v>
      </c>
      <c r="J162">
        <f t="shared" si="14"/>
        <v>1.4067366430758002</v>
      </c>
    </row>
    <row r="163" spans="9:10" x14ac:dyDescent="0.25">
      <c r="I163">
        <v>58</v>
      </c>
      <c r="J163">
        <f t="shared" si="14"/>
        <v>1.4383711467890774</v>
      </c>
    </row>
    <row r="164" spans="9:10" x14ac:dyDescent="0.25">
      <c r="I164">
        <v>59</v>
      </c>
      <c r="J164">
        <f t="shared" si="14"/>
        <v>1.469471562785891</v>
      </c>
    </row>
    <row r="165" spans="9:10" x14ac:dyDescent="0.25">
      <c r="I165">
        <v>60</v>
      </c>
      <c r="J165">
        <f t="shared" si="14"/>
        <v>1.4999999999999998</v>
      </c>
    </row>
    <row r="166" spans="9:10" x14ac:dyDescent="0.25">
      <c r="I166">
        <v>61</v>
      </c>
      <c r="J166">
        <f t="shared" si="14"/>
        <v>1.5299192642332047</v>
      </c>
    </row>
    <row r="167" spans="9:10" x14ac:dyDescent="0.25">
      <c r="I167">
        <v>62</v>
      </c>
      <c r="J167">
        <f t="shared" si="14"/>
        <v>1.5591929034707466</v>
      </c>
    </row>
    <row r="168" spans="9:10" x14ac:dyDescent="0.25">
      <c r="I168">
        <v>63</v>
      </c>
      <c r="J168">
        <f t="shared" si="14"/>
        <v>1.5877852522924729</v>
      </c>
    </row>
    <row r="169" spans="9:10" x14ac:dyDescent="0.25">
      <c r="I169">
        <v>64</v>
      </c>
      <c r="J169">
        <f t="shared" si="14"/>
        <v>1.6156614753256582</v>
      </c>
    </row>
    <row r="170" spans="9:10" x14ac:dyDescent="0.25">
      <c r="I170">
        <v>65</v>
      </c>
      <c r="J170">
        <f t="shared" ref="J170:J233" si="15">ABS(COS(RADIANS(2*I170)))+1</f>
        <v>1.6427876096865393</v>
      </c>
    </row>
    <row r="171" spans="9:10" x14ac:dyDescent="0.25">
      <c r="I171">
        <v>66</v>
      </c>
      <c r="J171">
        <f t="shared" si="15"/>
        <v>1.6691306063588582</v>
      </c>
    </row>
    <row r="172" spans="9:10" x14ac:dyDescent="0.25">
      <c r="I172">
        <v>67</v>
      </c>
      <c r="J172">
        <f t="shared" si="15"/>
        <v>1.6946583704589973</v>
      </c>
    </row>
    <row r="173" spans="9:10" x14ac:dyDescent="0.25">
      <c r="I173">
        <v>68</v>
      </c>
      <c r="J173">
        <f t="shared" si="15"/>
        <v>1.7193398003386511</v>
      </c>
    </row>
    <row r="174" spans="9:10" x14ac:dyDescent="0.25">
      <c r="I174">
        <v>69</v>
      </c>
      <c r="J174">
        <f t="shared" si="15"/>
        <v>1.743144825477394</v>
      </c>
    </row>
    <row r="175" spans="9:10" x14ac:dyDescent="0.25">
      <c r="I175">
        <v>70</v>
      </c>
      <c r="J175">
        <f t="shared" si="15"/>
        <v>1.7660444431189779</v>
      </c>
    </row>
    <row r="176" spans="9:10" x14ac:dyDescent="0.25">
      <c r="I176">
        <v>71</v>
      </c>
      <c r="J176">
        <f t="shared" si="15"/>
        <v>1.7880107536067218</v>
      </c>
    </row>
    <row r="177" spans="9:10" x14ac:dyDescent="0.25">
      <c r="I177">
        <v>72</v>
      </c>
      <c r="J177">
        <f t="shared" si="15"/>
        <v>1.8090169943749475</v>
      </c>
    </row>
    <row r="178" spans="9:10" x14ac:dyDescent="0.25">
      <c r="I178">
        <v>73</v>
      </c>
      <c r="J178">
        <f t="shared" si="15"/>
        <v>1.8290375725550416</v>
      </c>
    </row>
    <row r="179" spans="9:10" x14ac:dyDescent="0.25">
      <c r="I179">
        <v>74</v>
      </c>
      <c r="J179">
        <f t="shared" si="15"/>
        <v>1.8480480961564258</v>
      </c>
    </row>
    <row r="180" spans="9:10" x14ac:dyDescent="0.25">
      <c r="I180">
        <v>75</v>
      </c>
      <c r="J180">
        <f t="shared" si="15"/>
        <v>1.8660254037844388</v>
      </c>
    </row>
    <row r="181" spans="9:10" x14ac:dyDescent="0.25">
      <c r="I181">
        <v>76</v>
      </c>
      <c r="J181">
        <f t="shared" si="15"/>
        <v>1.882947592858927</v>
      </c>
    </row>
    <row r="182" spans="9:10" x14ac:dyDescent="0.25">
      <c r="I182">
        <v>77</v>
      </c>
      <c r="J182">
        <f t="shared" si="15"/>
        <v>1.898794046299167</v>
      </c>
    </row>
    <row r="183" spans="9:10" x14ac:dyDescent="0.25">
      <c r="I183">
        <v>78</v>
      </c>
      <c r="J183">
        <f t="shared" si="15"/>
        <v>1.9135454576426008</v>
      </c>
    </row>
    <row r="184" spans="9:10" x14ac:dyDescent="0.25">
      <c r="I184">
        <v>79</v>
      </c>
      <c r="J184">
        <f t="shared" si="15"/>
        <v>1.9271838545667874</v>
      </c>
    </row>
    <row r="185" spans="9:10" x14ac:dyDescent="0.25">
      <c r="I185">
        <v>80</v>
      </c>
      <c r="J185">
        <f t="shared" si="15"/>
        <v>1.9396926207859084</v>
      </c>
    </row>
    <row r="186" spans="9:10" x14ac:dyDescent="0.25">
      <c r="I186">
        <v>81</v>
      </c>
      <c r="J186">
        <f t="shared" si="15"/>
        <v>1.9510565162951536</v>
      </c>
    </row>
    <row r="187" spans="9:10" x14ac:dyDescent="0.25">
      <c r="I187">
        <v>82</v>
      </c>
      <c r="J187">
        <f t="shared" si="15"/>
        <v>1.9612616959383189</v>
      </c>
    </row>
    <row r="188" spans="9:10" x14ac:dyDescent="0.25">
      <c r="I188">
        <v>83</v>
      </c>
      <c r="J188">
        <f t="shared" si="15"/>
        <v>1.9702957262759964</v>
      </c>
    </row>
    <row r="189" spans="9:10" x14ac:dyDescent="0.25">
      <c r="I189">
        <v>84</v>
      </c>
      <c r="J189">
        <f t="shared" si="15"/>
        <v>1.9781476007338057</v>
      </c>
    </row>
    <row r="190" spans="9:10" x14ac:dyDescent="0.25">
      <c r="I190">
        <v>85</v>
      </c>
      <c r="J190">
        <f t="shared" si="15"/>
        <v>1.9848077530122081</v>
      </c>
    </row>
    <row r="191" spans="9:10" x14ac:dyDescent="0.25">
      <c r="I191">
        <v>86</v>
      </c>
      <c r="J191">
        <f t="shared" si="15"/>
        <v>1.9902680687415704</v>
      </c>
    </row>
    <row r="192" spans="9:10" x14ac:dyDescent="0.25">
      <c r="I192">
        <v>87</v>
      </c>
      <c r="J192">
        <f t="shared" si="15"/>
        <v>1.9945218953682733</v>
      </c>
    </row>
    <row r="193" spans="9:10" x14ac:dyDescent="0.25">
      <c r="I193">
        <v>88</v>
      </c>
      <c r="J193">
        <f t="shared" si="15"/>
        <v>1.9975640502598242</v>
      </c>
    </row>
    <row r="194" spans="9:10" x14ac:dyDescent="0.25">
      <c r="I194">
        <v>89</v>
      </c>
      <c r="J194">
        <f t="shared" si="15"/>
        <v>1.9993908270190959</v>
      </c>
    </row>
    <row r="195" spans="9:10" x14ac:dyDescent="0.25">
      <c r="I195">
        <v>90</v>
      </c>
      <c r="J195">
        <f t="shared" si="15"/>
        <v>2</v>
      </c>
    </row>
    <row r="196" spans="9:10" x14ac:dyDescent="0.25">
      <c r="I196">
        <v>91</v>
      </c>
      <c r="J196">
        <f t="shared" si="15"/>
        <v>1.9993908270190959</v>
      </c>
    </row>
    <row r="197" spans="9:10" x14ac:dyDescent="0.25">
      <c r="I197">
        <v>92</v>
      </c>
      <c r="J197">
        <f t="shared" si="15"/>
        <v>1.9975640502598242</v>
      </c>
    </row>
    <row r="198" spans="9:10" x14ac:dyDescent="0.25">
      <c r="I198">
        <v>93</v>
      </c>
      <c r="J198">
        <f t="shared" si="15"/>
        <v>1.9945218953682733</v>
      </c>
    </row>
    <row r="199" spans="9:10" x14ac:dyDescent="0.25">
      <c r="I199">
        <v>94</v>
      </c>
      <c r="J199">
        <f t="shared" si="15"/>
        <v>1.9902680687415701</v>
      </c>
    </row>
    <row r="200" spans="9:10" x14ac:dyDescent="0.25">
      <c r="I200">
        <v>95</v>
      </c>
      <c r="J200">
        <f t="shared" si="15"/>
        <v>1.9848077530122081</v>
      </c>
    </row>
    <row r="201" spans="9:10" x14ac:dyDescent="0.25">
      <c r="I201">
        <v>96</v>
      </c>
      <c r="J201">
        <f t="shared" si="15"/>
        <v>1.9781476007338057</v>
      </c>
    </row>
    <row r="202" spans="9:10" x14ac:dyDescent="0.25">
      <c r="I202">
        <v>97</v>
      </c>
      <c r="J202">
        <f t="shared" si="15"/>
        <v>1.9702957262759964</v>
      </c>
    </row>
    <row r="203" spans="9:10" x14ac:dyDescent="0.25">
      <c r="I203">
        <v>98</v>
      </c>
      <c r="J203">
        <f t="shared" si="15"/>
        <v>1.9612616959383189</v>
      </c>
    </row>
    <row r="204" spans="9:10" x14ac:dyDescent="0.25">
      <c r="I204">
        <v>99</v>
      </c>
      <c r="J204">
        <f t="shared" si="15"/>
        <v>1.9510565162951536</v>
      </c>
    </row>
    <row r="205" spans="9:10" x14ac:dyDescent="0.25">
      <c r="I205">
        <v>100</v>
      </c>
      <c r="J205">
        <f t="shared" si="15"/>
        <v>1.9396926207859084</v>
      </c>
    </row>
    <row r="206" spans="9:10" x14ac:dyDescent="0.25">
      <c r="I206">
        <v>101</v>
      </c>
      <c r="J206">
        <f t="shared" si="15"/>
        <v>1.9271838545667874</v>
      </c>
    </row>
    <row r="207" spans="9:10" x14ac:dyDescent="0.25">
      <c r="I207">
        <v>102</v>
      </c>
      <c r="J207">
        <f t="shared" si="15"/>
        <v>1.9135454576426008</v>
      </c>
    </row>
    <row r="208" spans="9:10" x14ac:dyDescent="0.25">
      <c r="I208">
        <v>103</v>
      </c>
      <c r="J208">
        <f t="shared" si="15"/>
        <v>1.8987940462991668</v>
      </c>
    </row>
    <row r="209" spans="9:10" x14ac:dyDescent="0.25">
      <c r="I209">
        <v>104</v>
      </c>
      <c r="J209">
        <f t="shared" si="15"/>
        <v>1.882947592858927</v>
      </c>
    </row>
    <row r="210" spans="9:10" x14ac:dyDescent="0.25">
      <c r="I210">
        <v>105</v>
      </c>
      <c r="J210">
        <f t="shared" si="15"/>
        <v>1.8660254037844386</v>
      </c>
    </row>
    <row r="211" spans="9:10" x14ac:dyDescent="0.25">
      <c r="I211">
        <v>106</v>
      </c>
      <c r="J211">
        <f t="shared" si="15"/>
        <v>1.8480480961564261</v>
      </c>
    </row>
    <row r="212" spans="9:10" x14ac:dyDescent="0.25">
      <c r="I212">
        <v>107</v>
      </c>
      <c r="J212">
        <f t="shared" si="15"/>
        <v>1.8290375725550418</v>
      </c>
    </row>
    <row r="213" spans="9:10" x14ac:dyDescent="0.25">
      <c r="I213">
        <v>108</v>
      </c>
      <c r="J213">
        <f t="shared" si="15"/>
        <v>1.8090169943749475</v>
      </c>
    </row>
    <row r="214" spans="9:10" x14ac:dyDescent="0.25">
      <c r="I214">
        <v>109</v>
      </c>
      <c r="J214">
        <f t="shared" si="15"/>
        <v>1.788010753606722</v>
      </c>
    </row>
    <row r="215" spans="9:10" x14ac:dyDescent="0.25">
      <c r="I215">
        <v>110</v>
      </c>
      <c r="J215">
        <f t="shared" si="15"/>
        <v>1.7660444431189779</v>
      </c>
    </row>
    <row r="216" spans="9:10" x14ac:dyDescent="0.25">
      <c r="I216">
        <v>111</v>
      </c>
      <c r="J216">
        <f t="shared" si="15"/>
        <v>1.7431448254773942</v>
      </c>
    </row>
    <row r="217" spans="9:10" x14ac:dyDescent="0.25">
      <c r="I217">
        <v>112</v>
      </c>
      <c r="J217">
        <f t="shared" si="15"/>
        <v>1.7193398003386511</v>
      </c>
    </row>
    <row r="218" spans="9:10" x14ac:dyDescent="0.25">
      <c r="I218">
        <v>113</v>
      </c>
      <c r="J218">
        <f t="shared" si="15"/>
        <v>1.6946583704589973</v>
      </c>
    </row>
    <row r="219" spans="9:10" x14ac:dyDescent="0.25">
      <c r="I219">
        <v>114</v>
      </c>
      <c r="J219">
        <f t="shared" si="15"/>
        <v>1.6691306063588582</v>
      </c>
    </row>
    <row r="220" spans="9:10" x14ac:dyDescent="0.25">
      <c r="I220">
        <v>115</v>
      </c>
      <c r="J220">
        <f t="shared" si="15"/>
        <v>1.6427876096865395</v>
      </c>
    </row>
    <row r="221" spans="9:10" x14ac:dyDescent="0.25">
      <c r="I221">
        <v>116</v>
      </c>
      <c r="J221">
        <f t="shared" si="15"/>
        <v>1.6156614753256582</v>
      </c>
    </row>
    <row r="222" spans="9:10" x14ac:dyDescent="0.25">
      <c r="I222">
        <v>117</v>
      </c>
      <c r="J222">
        <f t="shared" si="15"/>
        <v>1.5877852522924734</v>
      </c>
    </row>
    <row r="223" spans="9:10" x14ac:dyDescent="0.25">
      <c r="I223">
        <v>118</v>
      </c>
      <c r="J223">
        <f t="shared" si="15"/>
        <v>1.5591929034707466</v>
      </c>
    </row>
    <row r="224" spans="9:10" x14ac:dyDescent="0.25">
      <c r="I224">
        <v>119</v>
      </c>
      <c r="J224">
        <f t="shared" si="15"/>
        <v>1.5299192642332051</v>
      </c>
    </row>
    <row r="225" spans="9:10" x14ac:dyDescent="0.25">
      <c r="I225">
        <v>120</v>
      </c>
      <c r="J225">
        <f t="shared" si="15"/>
        <v>1.5000000000000004</v>
      </c>
    </row>
    <row r="226" spans="9:10" x14ac:dyDescent="0.25">
      <c r="I226">
        <v>121</v>
      </c>
      <c r="J226">
        <f t="shared" si="15"/>
        <v>1.4694715627858908</v>
      </c>
    </row>
    <row r="227" spans="9:10" x14ac:dyDescent="0.25">
      <c r="I227">
        <v>122</v>
      </c>
      <c r="J227">
        <f t="shared" si="15"/>
        <v>1.4383711467890778</v>
      </c>
    </row>
    <row r="228" spans="9:10" x14ac:dyDescent="0.25">
      <c r="I228">
        <v>123</v>
      </c>
      <c r="J228">
        <f t="shared" si="15"/>
        <v>1.4067366430758002</v>
      </c>
    </row>
    <row r="229" spans="9:10" x14ac:dyDescent="0.25">
      <c r="I229">
        <v>124</v>
      </c>
      <c r="J229">
        <f t="shared" si="15"/>
        <v>1.3746065934159124</v>
      </c>
    </row>
    <row r="230" spans="9:10" x14ac:dyDescent="0.25">
      <c r="I230">
        <v>125</v>
      </c>
      <c r="J230">
        <f t="shared" si="15"/>
        <v>1.3420201433256684</v>
      </c>
    </row>
    <row r="231" spans="9:10" x14ac:dyDescent="0.25">
      <c r="I231">
        <v>126</v>
      </c>
      <c r="J231">
        <f t="shared" si="15"/>
        <v>1.3090169943749475</v>
      </c>
    </row>
    <row r="232" spans="9:10" x14ac:dyDescent="0.25">
      <c r="I232">
        <v>127</v>
      </c>
      <c r="J232">
        <f t="shared" si="15"/>
        <v>1.2756373558169989</v>
      </c>
    </row>
    <row r="233" spans="9:10" x14ac:dyDescent="0.25">
      <c r="I233">
        <v>128</v>
      </c>
      <c r="J233">
        <f t="shared" si="15"/>
        <v>1.2419218955996678</v>
      </c>
    </row>
    <row r="234" spans="9:10" x14ac:dyDescent="0.25">
      <c r="I234">
        <v>129</v>
      </c>
      <c r="J234">
        <f t="shared" ref="J234:J297" si="16">ABS(COS(RADIANS(2*I234)))+1</f>
        <v>1.2079116908177598</v>
      </c>
    </row>
    <row r="235" spans="9:10" x14ac:dyDescent="0.25">
      <c r="I235">
        <v>130</v>
      </c>
      <c r="J235">
        <f t="shared" si="16"/>
        <v>1.1736481776669303</v>
      </c>
    </row>
    <row r="236" spans="9:10" x14ac:dyDescent="0.25">
      <c r="I236">
        <v>131</v>
      </c>
      <c r="J236">
        <f t="shared" si="16"/>
        <v>1.1391731009600659</v>
      </c>
    </row>
    <row r="237" spans="9:10" x14ac:dyDescent="0.25">
      <c r="I237">
        <v>132</v>
      </c>
      <c r="J237">
        <f t="shared" si="16"/>
        <v>1.1045284632676533</v>
      </c>
    </row>
    <row r="238" spans="9:10" x14ac:dyDescent="0.25">
      <c r="I238">
        <v>133</v>
      </c>
      <c r="J238">
        <f t="shared" si="16"/>
        <v>1.0697564737441256</v>
      </c>
    </row>
    <row r="239" spans="9:10" x14ac:dyDescent="0.25">
      <c r="I239">
        <v>134</v>
      </c>
      <c r="J239">
        <f t="shared" si="16"/>
        <v>1.0348994967025007</v>
      </c>
    </row>
    <row r="240" spans="9:10" x14ac:dyDescent="0.25">
      <c r="I240">
        <v>135</v>
      </c>
      <c r="J240">
        <f t="shared" si="16"/>
        <v>1.0000000000000002</v>
      </c>
    </row>
    <row r="241" spans="9:10" x14ac:dyDescent="0.25">
      <c r="I241">
        <v>136</v>
      </c>
      <c r="J241">
        <f t="shared" si="16"/>
        <v>1.0348994967025014</v>
      </c>
    </row>
    <row r="242" spans="9:10" x14ac:dyDescent="0.25">
      <c r="I242">
        <v>137</v>
      </c>
      <c r="J242">
        <f t="shared" si="16"/>
        <v>1.0697564737441252</v>
      </c>
    </row>
    <row r="243" spans="9:10" x14ac:dyDescent="0.25">
      <c r="I243">
        <v>138</v>
      </c>
      <c r="J243">
        <f t="shared" si="16"/>
        <v>1.1045284632676531</v>
      </c>
    </row>
    <row r="244" spans="9:10" x14ac:dyDescent="0.25">
      <c r="I244">
        <v>139</v>
      </c>
      <c r="J244">
        <f t="shared" si="16"/>
        <v>1.1391731009600654</v>
      </c>
    </row>
    <row r="245" spans="9:10" x14ac:dyDescent="0.25">
      <c r="I245">
        <v>140</v>
      </c>
      <c r="J245">
        <f t="shared" si="16"/>
        <v>1.1736481776669301</v>
      </c>
    </row>
    <row r="246" spans="9:10" x14ac:dyDescent="0.25">
      <c r="I246">
        <v>141</v>
      </c>
      <c r="J246">
        <f t="shared" si="16"/>
        <v>1.2079116908177594</v>
      </c>
    </row>
    <row r="247" spans="9:10" x14ac:dyDescent="0.25">
      <c r="I247">
        <v>142</v>
      </c>
      <c r="J247">
        <f t="shared" si="16"/>
        <v>1.2419218955996674</v>
      </c>
    </row>
    <row r="248" spans="9:10" x14ac:dyDescent="0.25">
      <c r="I248">
        <v>143</v>
      </c>
      <c r="J248">
        <f t="shared" si="16"/>
        <v>1.2756373558169993</v>
      </c>
    </row>
    <row r="249" spans="9:10" x14ac:dyDescent="0.25">
      <c r="I249">
        <v>144</v>
      </c>
      <c r="J249">
        <f t="shared" si="16"/>
        <v>1.3090169943749472</v>
      </c>
    </row>
    <row r="250" spans="9:10" x14ac:dyDescent="0.25">
      <c r="I250">
        <v>145</v>
      </c>
      <c r="J250">
        <f t="shared" si="16"/>
        <v>1.3420201433256689</v>
      </c>
    </row>
    <row r="251" spans="9:10" x14ac:dyDescent="0.25">
      <c r="I251">
        <v>146</v>
      </c>
      <c r="J251">
        <f t="shared" si="16"/>
        <v>1.374606593415912</v>
      </c>
    </row>
    <row r="252" spans="9:10" x14ac:dyDescent="0.25">
      <c r="I252">
        <v>147</v>
      </c>
      <c r="J252">
        <f t="shared" si="16"/>
        <v>1.4067366430757997</v>
      </c>
    </row>
    <row r="253" spans="9:10" x14ac:dyDescent="0.25">
      <c r="I253">
        <v>148</v>
      </c>
      <c r="J253">
        <f t="shared" si="16"/>
        <v>1.4383711467890774</v>
      </c>
    </row>
    <row r="254" spans="9:10" x14ac:dyDescent="0.25">
      <c r="I254">
        <v>149</v>
      </c>
      <c r="J254">
        <f t="shared" si="16"/>
        <v>1.4694715627858903</v>
      </c>
    </row>
    <row r="255" spans="9:10" x14ac:dyDescent="0.25">
      <c r="I255">
        <v>150</v>
      </c>
      <c r="J255">
        <f t="shared" si="16"/>
        <v>1.5</v>
      </c>
    </row>
    <row r="256" spans="9:10" x14ac:dyDescent="0.25">
      <c r="I256">
        <v>151</v>
      </c>
      <c r="J256">
        <f t="shared" si="16"/>
        <v>1.5299192642332047</v>
      </c>
    </row>
    <row r="257" spans="9:10" x14ac:dyDescent="0.25">
      <c r="I257">
        <v>152</v>
      </c>
      <c r="J257">
        <f t="shared" si="16"/>
        <v>1.559192903470747</v>
      </c>
    </row>
    <row r="258" spans="9:10" x14ac:dyDescent="0.25">
      <c r="I258">
        <v>153</v>
      </c>
      <c r="J258">
        <f t="shared" si="16"/>
        <v>1.5877852522924729</v>
      </c>
    </row>
    <row r="259" spans="9:10" x14ac:dyDescent="0.25">
      <c r="I259">
        <v>154</v>
      </c>
      <c r="J259">
        <f t="shared" si="16"/>
        <v>1.6156614753256586</v>
      </c>
    </row>
    <row r="260" spans="9:10" x14ac:dyDescent="0.25">
      <c r="I260">
        <v>155</v>
      </c>
      <c r="J260">
        <f t="shared" si="16"/>
        <v>1.6427876096865393</v>
      </c>
    </row>
    <row r="261" spans="9:10" x14ac:dyDescent="0.25">
      <c r="I261">
        <v>156</v>
      </c>
      <c r="J261">
        <f t="shared" si="16"/>
        <v>1.6691306063588578</v>
      </c>
    </row>
    <row r="262" spans="9:10" x14ac:dyDescent="0.25">
      <c r="I262">
        <v>157</v>
      </c>
      <c r="J262">
        <f t="shared" si="16"/>
        <v>1.6946583704589973</v>
      </c>
    </row>
    <row r="263" spans="9:10" x14ac:dyDescent="0.25">
      <c r="I263">
        <v>158</v>
      </c>
      <c r="J263">
        <f t="shared" si="16"/>
        <v>1.7193398003386509</v>
      </c>
    </row>
    <row r="264" spans="9:10" x14ac:dyDescent="0.25">
      <c r="I264">
        <v>159</v>
      </c>
      <c r="J264">
        <f t="shared" si="16"/>
        <v>1.7431448254773942</v>
      </c>
    </row>
    <row r="265" spans="9:10" x14ac:dyDescent="0.25">
      <c r="I265">
        <v>160</v>
      </c>
      <c r="J265">
        <f t="shared" si="16"/>
        <v>1.7660444431189779</v>
      </c>
    </row>
    <row r="266" spans="9:10" x14ac:dyDescent="0.25">
      <c r="I266">
        <v>161</v>
      </c>
      <c r="J266">
        <f t="shared" si="16"/>
        <v>1.788010753606722</v>
      </c>
    </row>
    <row r="267" spans="9:10" x14ac:dyDescent="0.25">
      <c r="I267">
        <v>162</v>
      </c>
      <c r="J267">
        <f t="shared" si="16"/>
        <v>1.8090169943749475</v>
      </c>
    </row>
    <row r="268" spans="9:10" x14ac:dyDescent="0.25">
      <c r="I268">
        <v>163</v>
      </c>
      <c r="J268">
        <f t="shared" si="16"/>
        <v>1.8290375725550418</v>
      </c>
    </row>
    <row r="269" spans="9:10" x14ac:dyDescent="0.25">
      <c r="I269">
        <v>164</v>
      </c>
      <c r="J269">
        <f t="shared" si="16"/>
        <v>1.8480480961564258</v>
      </c>
    </row>
    <row r="270" spans="9:10" x14ac:dyDescent="0.25">
      <c r="I270">
        <v>165</v>
      </c>
      <c r="J270">
        <f t="shared" si="16"/>
        <v>1.8660254037844384</v>
      </c>
    </row>
    <row r="271" spans="9:10" x14ac:dyDescent="0.25">
      <c r="I271">
        <v>166</v>
      </c>
      <c r="J271">
        <f t="shared" si="16"/>
        <v>1.882947592858927</v>
      </c>
    </row>
    <row r="272" spans="9:10" x14ac:dyDescent="0.25">
      <c r="I272">
        <v>167</v>
      </c>
      <c r="J272">
        <f t="shared" si="16"/>
        <v>1.8987940462991668</v>
      </c>
    </row>
    <row r="273" spans="9:10" x14ac:dyDescent="0.25">
      <c r="I273">
        <v>168</v>
      </c>
      <c r="J273">
        <f t="shared" si="16"/>
        <v>1.913545457642601</v>
      </c>
    </row>
    <row r="274" spans="9:10" x14ac:dyDescent="0.25">
      <c r="I274">
        <v>169</v>
      </c>
      <c r="J274">
        <f t="shared" si="16"/>
        <v>1.9271838545667874</v>
      </c>
    </row>
    <row r="275" spans="9:10" x14ac:dyDescent="0.25">
      <c r="I275">
        <v>170</v>
      </c>
      <c r="J275">
        <f t="shared" si="16"/>
        <v>1.9396926207859084</v>
      </c>
    </row>
    <row r="276" spans="9:10" x14ac:dyDescent="0.25">
      <c r="I276">
        <v>171</v>
      </c>
      <c r="J276">
        <f t="shared" si="16"/>
        <v>1.9510565162951536</v>
      </c>
    </row>
    <row r="277" spans="9:10" x14ac:dyDescent="0.25">
      <c r="I277">
        <v>172</v>
      </c>
      <c r="J277">
        <f t="shared" si="16"/>
        <v>1.9612616959383189</v>
      </c>
    </row>
    <row r="278" spans="9:10" x14ac:dyDescent="0.25">
      <c r="I278">
        <v>173</v>
      </c>
      <c r="J278">
        <f t="shared" si="16"/>
        <v>1.9702957262759964</v>
      </c>
    </row>
    <row r="279" spans="9:10" x14ac:dyDescent="0.25">
      <c r="I279">
        <v>174</v>
      </c>
      <c r="J279">
        <f t="shared" si="16"/>
        <v>1.9781476007338057</v>
      </c>
    </row>
    <row r="280" spans="9:10" x14ac:dyDescent="0.25">
      <c r="I280">
        <v>175</v>
      </c>
      <c r="J280">
        <f t="shared" si="16"/>
        <v>1.9848077530122081</v>
      </c>
    </row>
    <row r="281" spans="9:10" x14ac:dyDescent="0.25">
      <c r="I281">
        <v>176</v>
      </c>
      <c r="J281">
        <f t="shared" si="16"/>
        <v>1.9902680687415701</v>
      </c>
    </row>
    <row r="282" spans="9:10" x14ac:dyDescent="0.25">
      <c r="I282">
        <v>177</v>
      </c>
      <c r="J282">
        <f t="shared" si="16"/>
        <v>1.9945218953682733</v>
      </c>
    </row>
    <row r="283" spans="9:10" x14ac:dyDescent="0.25">
      <c r="I283">
        <v>178</v>
      </c>
      <c r="J283">
        <f t="shared" si="16"/>
        <v>1.9975640502598242</v>
      </c>
    </row>
    <row r="284" spans="9:10" x14ac:dyDescent="0.25">
      <c r="I284">
        <v>179</v>
      </c>
      <c r="J284">
        <f t="shared" si="16"/>
        <v>1.9993908270190959</v>
      </c>
    </row>
    <row r="285" spans="9:10" x14ac:dyDescent="0.25">
      <c r="I285">
        <v>180</v>
      </c>
      <c r="J285">
        <f t="shared" si="16"/>
        <v>2</v>
      </c>
    </row>
    <row r="286" spans="9:10" x14ac:dyDescent="0.25">
      <c r="I286">
        <v>181</v>
      </c>
      <c r="J286">
        <f t="shared" si="16"/>
        <v>1.9993908270190959</v>
      </c>
    </row>
    <row r="287" spans="9:10" x14ac:dyDescent="0.25">
      <c r="I287">
        <v>182</v>
      </c>
      <c r="J287">
        <f t="shared" si="16"/>
        <v>1.9975640502598244</v>
      </c>
    </row>
    <row r="288" spans="9:10" x14ac:dyDescent="0.25">
      <c r="I288">
        <v>183</v>
      </c>
      <c r="J288">
        <f t="shared" si="16"/>
        <v>1.9945218953682735</v>
      </c>
    </row>
    <row r="289" spans="9:10" x14ac:dyDescent="0.25">
      <c r="I289">
        <v>184</v>
      </c>
      <c r="J289">
        <f t="shared" si="16"/>
        <v>1.9902680687415704</v>
      </c>
    </row>
    <row r="290" spans="9:10" x14ac:dyDescent="0.25">
      <c r="I290">
        <v>185</v>
      </c>
      <c r="J290">
        <f t="shared" si="16"/>
        <v>1.9848077530122081</v>
      </c>
    </row>
    <row r="291" spans="9:10" x14ac:dyDescent="0.25">
      <c r="I291">
        <v>186</v>
      </c>
      <c r="J291">
        <f t="shared" si="16"/>
        <v>1.9781476007338057</v>
      </c>
    </row>
    <row r="292" spans="9:10" x14ac:dyDescent="0.25">
      <c r="I292">
        <v>187</v>
      </c>
      <c r="J292">
        <f t="shared" si="16"/>
        <v>1.9702957262759966</v>
      </c>
    </row>
    <row r="293" spans="9:10" x14ac:dyDescent="0.25">
      <c r="I293">
        <v>188</v>
      </c>
      <c r="J293">
        <f t="shared" si="16"/>
        <v>1.9612616959383189</v>
      </c>
    </row>
    <row r="294" spans="9:10" x14ac:dyDescent="0.25">
      <c r="I294">
        <v>189</v>
      </c>
      <c r="J294">
        <f t="shared" si="16"/>
        <v>1.9510565162951536</v>
      </c>
    </row>
    <row r="295" spans="9:10" x14ac:dyDescent="0.25">
      <c r="I295">
        <v>190</v>
      </c>
      <c r="J295">
        <f t="shared" si="16"/>
        <v>1.9396926207859084</v>
      </c>
    </row>
    <row r="296" spans="9:10" x14ac:dyDescent="0.25">
      <c r="I296">
        <v>191</v>
      </c>
      <c r="J296">
        <f t="shared" si="16"/>
        <v>1.9271838545667874</v>
      </c>
    </row>
    <row r="297" spans="9:10" x14ac:dyDescent="0.25">
      <c r="I297">
        <v>192</v>
      </c>
      <c r="J297">
        <f t="shared" si="16"/>
        <v>1.9135454576426008</v>
      </c>
    </row>
    <row r="298" spans="9:10" x14ac:dyDescent="0.25">
      <c r="I298">
        <v>193</v>
      </c>
      <c r="J298">
        <f t="shared" ref="J298:J361" si="17">ABS(COS(RADIANS(2*I298)))+1</f>
        <v>1.898794046299167</v>
      </c>
    </row>
    <row r="299" spans="9:10" x14ac:dyDescent="0.25">
      <c r="I299">
        <v>194</v>
      </c>
      <c r="J299">
        <f t="shared" si="17"/>
        <v>1.8829475928589272</v>
      </c>
    </row>
    <row r="300" spans="9:10" x14ac:dyDescent="0.25">
      <c r="I300">
        <v>195</v>
      </c>
      <c r="J300">
        <f t="shared" si="17"/>
        <v>1.8660254037844386</v>
      </c>
    </row>
    <row r="301" spans="9:10" x14ac:dyDescent="0.25">
      <c r="I301">
        <v>196</v>
      </c>
      <c r="J301">
        <f t="shared" si="17"/>
        <v>1.8480480961564263</v>
      </c>
    </row>
    <row r="302" spans="9:10" x14ac:dyDescent="0.25">
      <c r="I302">
        <v>197</v>
      </c>
      <c r="J302">
        <f t="shared" si="17"/>
        <v>1.8290375725550416</v>
      </c>
    </row>
    <row r="303" spans="9:10" x14ac:dyDescent="0.25">
      <c r="I303">
        <v>198</v>
      </c>
      <c r="J303">
        <f t="shared" si="17"/>
        <v>1.8090169943749475</v>
      </c>
    </row>
    <row r="304" spans="9:10" x14ac:dyDescent="0.25">
      <c r="I304">
        <v>199</v>
      </c>
      <c r="J304">
        <f t="shared" si="17"/>
        <v>1.7880107536067218</v>
      </c>
    </row>
    <row r="305" spans="9:10" x14ac:dyDescent="0.25">
      <c r="I305">
        <v>200</v>
      </c>
      <c r="J305">
        <f t="shared" si="17"/>
        <v>1.7660444431189781</v>
      </c>
    </row>
    <row r="306" spans="9:10" x14ac:dyDescent="0.25">
      <c r="I306">
        <v>201</v>
      </c>
      <c r="J306">
        <f t="shared" si="17"/>
        <v>1.743144825477394</v>
      </c>
    </row>
    <row r="307" spans="9:10" x14ac:dyDescent="0.25">
      <c r="I307">
        <v>202</v>
      </c>
      <c r="J307">
        <f t="shared" si="17"/>
        <v>1.7193398003386511</v>
      </c>
    </row>
    <row r="308" spans="9:10" x14ac:dyDescent="0.25">
      <c r="I308">
        <v>203</v>
      </c>
      <c r="J308">
        <f t="shared" si="17"/>
        <v>1.6946583704589977</v>
      </c>
    </row>
    <row r="309" spans="9:10" x14ac:dyDescent="0.25">
      <c r="I309">
        <v>204</v>
      </c>
      <c r="J309">
        <f t="shared" si="17"/>
        <v>1.6691306063588582</v>
      </c>
    </row>
    <row r="310" spans="9:10" x14ac:dyDescent="0.25">
      <c r="I310">
        <v>205</v>
      </c>
      <c r="J310">
        <f t="shared" si="17"/>
        <v>1.6427876096865397</v>
      </c>
    </row>
    <row r="311" spans="9:10" x14ac:dyDescent="0.25">
      <c r="I311">
        <v>206</v>
      </c>
      <c r="J311">
        <f t="shared" si="17"/>
        <v>1.6156614753256582</v>
      </c>
    </row>
    <row r="312" spans="9:10" x14ac:dyDescent="0.25">
      <c r="I312">
        <v>207</v>
      </c>
      <c r="J312">
        <f t="shared" si="17"/>
        <v>1.5877852522924734</v>
      </c>
    </row>
    <row r="313" spans="9:10" x14ac:dyDescent="0.25">
      <c r="I313">
        <v>208</v>
      </c>
      <c r="J313">
        <f t="shared" si="17"/>
        <v>1.5591929034707466</v>
      </c>
    </row>
    <row r="314" spans="9:10" x14ac:dyDescent="0.25">
      <c r="I314">
        <v>209</v>
      </c>
      <c r="J314">
        <f t="shared" si="17"/>
        <v>1.5299192642332051</v>
      </c>
    </row>
    <row r="315" spans="9:10" x14ac:dyDescent="0.25">
      <c r="I315">
        <v>210</v>
      </c>
      <c r="J315">
        <f t="shared" si="17"/>
        <v>1.4999999999999998</v>
      </c>
    </row>
    <row r="316" spans="9:10" x14ac:dyDescent="0.25">
      <c r="I316">
        <v>211</v>
      </c>
      <c r="J316">
        <f t="shared" si="17"/>
        <v>1.4694715627858908</v>
      </c>
    </row>
    <row r="317" spans="9:10" x14ac:dyDescent="0.25">
      <c r="I317">
        <v>212</v>
      </c>
      <c r="J317">
        <f t="shared" si="17"/>
        <v>1.4383711467890778</v>
      </c>
    </row>
    <row r="318" spans="9:10" x14ac:dyDescent="0.25">
      <c r="I318">
        <v>213</v>
      </c>
      <c r="J318">
        <f t="shared" si="17"/>
        <v>1.4067366430758002</v>
      </c>
    </row>
    <row r="319" spans="9:10" x14ac:dyDescent="0.25">
      <c r="I319">
        <v>214</v>
      </c>
      <c r="J319">
        <f t="shared" si="17"/>
        <v>1.3746065934159124</v>
      </c>
    </row>
    <row r="320" spans="9:10" x14ac:dyDescent="0.25">
      <c r="I320">
        <v>215</v>
      </c>
      <c r="J320">
        <f t="shared" si="17"/>
        <v>1.3420201433256687</v>
      </c>
    </row>
    <row r="321" spans="9:10" x14ac:dyDescent="0.25">
      <c r="I321">
        <v>216</v>
      </c>
      <c r="J321">
        <f t="shared" si="17"/>
        <v>1.3090169943749477</v>
      </c>
    </row>
    <row r="322" spans="9:10" x14ac:dyDescent="0.25">
      <c r="I322">
        <v>217</v>
      </c>
      <c r="J322">
        <f t="shared" si="17"/>
        <v>1.2756373558169991</v>
      </c>
    </row>
    <row r="323" spans="9:10" x14ac:dyDescent="0.25">
      <c r="I323">
        <v>218</v>
      </c>
      <c r="J323">
        <f t="shared" si="17"/>
        <v>1.2419218955996678</v>
      </c>
    </row>
    <row r="324" spans="9:10" x14ac:dyDescent="0.25">
      <c r="I324">
        <v>219</v>
      </c>
      <c r="J324">
        <f t="shared" si="17"/>
        <v>1.207911690817759</v>
      </c>
    </row>
    <row r="325" spans="9:10" x14ac:dyDescent="0.25">
      <c r="I325">
        <v>220</v>
      </c>
      <c r="J325">
        <f t="shared" si="17"/>
        <v>1.1736481776669305</v>
      </c>
    </row>
    <row r="326" spans="9:10" x14ac:dyDescent="0.25">
      <c r="I326">
        <v>221</v>
      </c>
      <c r="J326">
        <f t="shared" si="17"/>
        <v>1.1391731009600659</v>
      </c>
    </row>
    <row r="327" spans="9:10" x14ac:dyDescent="0.25">
      <c r="I327">
        <v>222</v>
      </c>
      <c r="J327">
        <f t="shared" si="17"/>
        <v>1.1045284632676535</v>
      </c>
    </row>
    <row r="328" spans="9:10" x14ac:dyDescent="0.25">
      <c r="I328">
        <v>223</v>
      </c>
      <c r="J328">
        <f t="shared" si="17"/>
        <v>1.0697564737441256</v>
      </c>
    </row>
    <row r="329" spans="9:10" x14ac:dyDescent="0.25">
      <c r="I329">
        <v>224</v>
      </c>
      <c r="J329">
        <f t="shared" si="17"/>
        <v>1.0348994967025009</v>
      </c>
    </row>
    <row r="330" spans="9:10" x14ac:dyDescent="0.25">
      <c r="I330">
        <v>225</v>
      </c>
      <c r="J330">
        <f t="shared" si="17"/>
        <v>1.0000000000000002</v>
      </c>
    </row>
    <row r="331" spans="9:10" x14ac:dyDescent="0.25">
      <c r="I331">
        <v>226</v>
      </c>
      <c r="J331">
        <f t="shared" si="17"/>
        <v>1.0348994967025011</v>
      </c>
    </row>
    <row r="332" spans="9:10" x14ac:dyDescent="0.25">
      <c r="I332">
        <v>227</v>
      </c>
      <c r="J332">
        <f t="shared" si="17"/>
        <v>1.0697564737441252</v>
      </c>
    </row>
    <row r="333" spans="9:10" x14ac:dyDescent="0.25">
      <c r="I333">
        <v>228</v>
      </c>
      <c r="J333">
        <f t="shared" si="17"/>
        <v>1.1045284632676537</v>
      </c>
    </row>
    <row r="334" spans="9:10" x14ac:dyDescent="0.25">
      <c r="I334">
        <v>229</v>
      </c>
      <c r="J334">
        <f t="shared" si="17"/>
        <v>1.1391731009600654</v>
      </c>
    </row>
    <row r="335" spans="9:10" x14ac:dyDescent="0.25">
      <c r="I335">
        <v>230</v>
      </c>
      <c r="J335">
        <f t="shared" si="17"/>
        <v>1.1736481776669299</v>
      </c>
    </row>
    <row r="336" spans="9:10" x14ac:dyDescent="0.25">
      <c r="I336">
        <v>231</v>
      </c>
      <c r="J336">
        <f t="shared" si="17"/>
        <v>1.2079116908177585</v>
      </c>
    </row>
    <row r="337" spans="9:10" x14ac:dyDescent="0.25">
      <c r="I337">
        <v>232</v>
      </c>
      <c r="J337">
        <f t="shared" si="17"/>
        <v>1.2419218955996683</v>
      </c>
    </row>
    <row r="338" spans="9:10" x14ac:dyDescent="0.25">
      <c r="I338">
        <v>233</v>
      </c>
      <c r="J338">
        <f t="shared" si="17"/>
        <v>1.2756373558169993</v>
      </c>
    </row>
    <row r="339" spans="9:10" x14ac:dyDescent="0.25">
      <c r="I339">
        <v>234</v>
      </c>
      <c r="J339">
        <f t="shared" si="17"/>
        <v>1.309016994374947</v>
      </c>
    </row>
    <row r="340" spans="9:10" x14ac:dyDescent="0.25">
      <c r="I340">
        <v>235</v>
      </c>
      <c r="J340">
        <f t="shared" si="17"/>
        <v>1.342020143325668</v>
      </c>
    </row>
    <row r="341" spans="9:10" x14ac:dyDescent="0.25">
      <c r="I341">
        <v>236</v>
      </c>
      <c r="J341">
        <f t="shared" si="17"/>
        <v>1.3746065934159126</v>
      </c>
    </row>
    <row r="342" spans="9:10" x14ac:dyDescent="0.25">
      <c r="I342">
        <v>237</v>
      </c>
      <c r="J342">
        <f t="shared" si="17"/>
        <v>1.4067366430758004</v>
      </c>
    </row>
    <row r="343" spans="9:10" x14ac:dyDescent="0.25">
      <c r="I343">
        <v>238</v>
      </c>
      <c r="J343">
        <f t="shared" si="17"/>
        <v>1.4383711467890774</v>
      </c>
    </row>
    <row r="344" spans="9:10" x14ac:dyDescent="0.25">
      <c r="I344">
        <v>239</v>
      </c>
      <c r="J344">
        <f t="shared" si="17"/>
        <v>1.4694715627858903</v>
      </c>
    </row>
    <row r="345" spans="9:10" x14ac:dyDescent="0.25">
      <c r="I345">
        <v>240</v>
      </c>
      <c r="J345">
        <f t="shared" si="17"/>
        <v>1.4999999999999991</v>
      </c>
    </row>
    <row r="346" spans="9:10" x14ac:dyDescent="0.25">
      <c r="I346">
        <v>241</v>
      </c>
      <c r="J346">
        <f t="shared" si="17"/>
        <v>1.5299192642332053</v>
      </c>
    </row>
    <row r="347" spans="9:10" x14ac:dyDescent="0.25">
      <c r="I347">
        <v>242</v>
      </c>
      <c r="J347">
        <f t="shared" si="17"/>
        <v>1.559192903470747</v>
      </c>
    </row>
    <row r="348" spans="9:10" x14ac:dyDescent="0.25">
      <c r="I348">
        <v>243</v>
      </c>
      <c r="J348">
        <f t="shared" si="17"/>
        <v>1.5877852522924729</v>
      </c>
    </row>
    <row r="349" spans="9:10" x14ac:dyDescent="0.25">
      <c r="I349">
        <v>244</v>
      </c>
      <c r="J349">
        <f t="shared" si="17"/>
        <v>1.6156614753256577</v>
      </c>
    </row>
    <row r="350" spans="9:10" x14ac:dyDescent="0.25">
      <c r="I350">
        <v>245</v>
      </c>
      <c r="J350">
        <f t="shared" si="17"/>
        <v>1.6427876096865397</v>
      </c>
    </row>
    <row r="351" spans="9:10" x14ac:dyDescent="0.25">
      <c r="I351">
        <v>246</v>
      </c>
      <c r="J351">
        <f t="shared" si="17"/>
        <v>1.6691306063588585</v>
      </c>
    </row>
    <row r="352" spans="9:10" x14ac:dyDescent="0.25">
      <c r="I352">
        <v>247</v>
      </c>
      <c r="J352">
        <f t="shared" si="17"/>
        <v>1.6946583704589973</v>
      </c>
    </row>
    <row r="353" spans="9:10" x14ac:dyDescent="0.25">
      <c r="I353">
        <v>248</v>
      </c>
      <c r="J353">
        <f t="shared" si="17"/>
        <v>1.7193398003386506</v>
      </c>
    </row>
    <row r="354" spans="9:10" x14ac:dyDescent="0.25">
      <c r="I354">
        <v>249</v>
      </c>
      <c r="J354">
        <f t="shared" si="17"/>
        <v>1.7431448254773936</v>
      </c>
    </row>
    <row r="355" spans="9:10" x14ac:dyDescent="0.25">
      <c r="I355">
        <v>250</v>
      </c>
      <c r="J355">
        <f t="shared" si="17"/>
        <v>1.7660444431189783</v>
      </c>
    </row>
    <row r="356" spans="9:10" x14ac:dyDescent="0.25">
      <c r="I356">
        <v>251</v>
      </c>
      <c r="J356">
        <f t="shared" si="17"/>
        <v>1.788010753606722</v>
      </c>
    </row>
    <row r="357" spans="9:10" x14ac:dyDescent="0.25">
      <c r="I357">
        <v>252</v>
      </c>
      <c r="J357">
        <f t="shared" si="17"/>
        <v>1.8090169943749472</v>
      </c>
    </row>
    <row r="358" spans="9:10" x14ac:dyDescent="0.25">
      <c r="I358">
        <v>253</v>
      </c>
      <c r="J358">
        <f t="shared" si="17"/>
        <v>1.8290375725550412</v>
      </c>
    </row>
    <row r="359" spans="9:10" x14ac:dyDescent="0.25">
      <c r="I359">
        <v>254</v>
      </c>
      <c r="J359">
        <f t="shared" si="17"/>
        <v>1.8480480961564263</v>
      </c>
    </row>
    <row r="360" spans="9:10" x14ac:dyDescent="0.25">
      <c r="I360">
        <v>255</v>
      </c>
      <c r="J360">
        <f t="shared" si="17"/>
        <v>1.8660254037844388</v>
      </c>
    </row>
    <row r="361" spans="9:10" x14ac:dyDescent="0.25">
      <c r="I361">
        <v>256</v>
      </c>
      <c r="J361">
        <f t="shared" si="17"/>
        <v>1.882947592858927</v>
      </c>
    </row>
    <row r="362" spans="9:10" x14ac:dyDescent="0.25">
      <c r="I362">
        <v>257</v>
      </c>
      <c r="J362">
        <f t="shared" ref="J362:J425" si="18">ABS(COS(RADIANS(2*I362)))+1</f>
        <v>1.8987940462991668</v>
      </c>
    </row>
    <row r="363" spans="9:10" x14ac:dyDescent="0.25">
      <c r="I363">
        <v>258</v>
      </c>
      <c r="J363">
        <f t="shared" si="18"/>
        <v>1.9135454576426005</v>
      </c>
    </row>
    <row r="364" spans="9:10" x14ac:dyDescent="0.25">
      <c r="I364">
        <v>259</v>
      </c>
      <c r="J364">
        <f t="shared" si="18"/>
        <v>1.9271838545667874</v>
      </c>
    </row>
    <row r="365" spans="9:10" x14ac:dyDescent="0.25">
      <c r="I365">
        <v>260</v>
      </c>
      <c r="J365">
        <f t="shared" si="18"/>
        <v>1.9396926207859084</v>
      </c>
    </row>
    <row r="366" spans="9:10" x14ac:dyDescent="0.25">
      <c r="I366">
        <v>261</v>
      </c>
      <c r="J366">
        <f t="shared" si="18"/>
        <v>1.9510565162951534</v>
      </c>
    </row>
    <row r="367" spans="9:10" x14ac:dyDescent="0.25">
      <c r="I367">
        <v>262</v>
      </c>
      <c r="J367">
        <f t="shared" si="18"/>
        <v>1.9612616959383187</v>
      </c>
    </row>
    <row r="368" spans="9:10" x14ac:dyDescent="0.25">
      <c r="I368">
        <v>263</v>
      </c>
      <c r="J368">
        <f t="shared" si="18"/>
        <v>1.9702957262759966</v>
      </c>
    </row>
    <row r="369" spans="9:10" x14ac:dyDescent="0.25">
      <c r="I369">
        <v>264</v>
      </c>
      <c r="J369">
        <f t="shared" si="18"/>
        <v>1.9781476007338057</v>
      </c>
    </row>
    <row r="370" spans="9:10" x14ac:dyDescent="0.25">
      <c r="I370">
        <v>265</v>
      </c>
      <c r="J370">
        <f t="shared" si="18"/>
        <v>1.9848077530122081</v>
      </c>
    </row>
    <row r="371" spans="9:10" x14ac:dyDescent="0.25">
      <c r="I371">
        <v>266</v>
      </c>
      <c r="J371">
        <f t="shared" si="18"/>
        <v>1.9902680687415701</v>
      </c>
    </row>
    <row r="372" spans="9:10" x14ac:dyDescent="0.25">
      <c r="I372">
        <v>267</v>
      </c>
      <c r="J372">
        <f t="shared" si="18"/>
        <v>1.9945218953682733</v>
      </c>
    </row>
    <row r="373" spans="9:10" x14ac:dyDescent="0.25">
      <c r="I373">
        <v>268</v>
      </c>
      <c r="J373">
        <f t="shared" si="18"/>
        <v>1.9975640502598244</v>
      </c>
    </row>
    <row r="374" spans="9:10" x14ac:dyDescent="0.25">
      <c r="I374">
        <v>269</v>
      </c>
      <c r="J374">
        <f t="shared" si="18"/>
        <v>1.9993908270190959</v>
      </c>
    </row>
    <row r="375" spans="9:10" x14ac:dyDescent="0.25">
      <c r="I375">
        <v>270</v>
      </c>
      <c r="J375">
        <f t="shared" si="18"/>
        <v>2</v>
      </c>
    </row>
    <row r="376" spans="9:10" x14ac:dyDescent="0.25">
      <c r="I376">
        <v>271</v>
      </c>
      <c r="J376">
        <f t="shared" si="18"/>
        <v>1.9993908270190959</v>
      </c>
    </row>
    <row r="377" spans="9:10" x14ac:dyDescent="0.25">
      <c r="I377">
        <v>272</v>
      </c>
      <c r="J377">
        <f t="shared" si="18"/>
        <v>1.9975640502598242</v>
      </c>
    </row>
    <row r="378" spans="9:10" x14ac:dyDescent="0.25">
      <c r="I378">
        <v>273</v>
      </c>
      <c r="J378">
        <f t="shared" si="18"/>
        <v>1.9945218953682733</v>
      </c>
    </row>
    <row r="379" spans="9:10" x14ac:dyDescent="0.25">
      <c r="I379">
        <v>274</v>
      </c>
      <c r="J379">
        <f t="shared" si="18"/>
        <v>1.9902680687415704</v>
      </c>
    </row>
    <row r="380" spans="9:10" x14ac:dyDescent="0.25">
      <c r="I380">
        <v>275</v>
      </c>
      <c r="J380">
        <f t="shared" si="18"/>
        <v>1.9848077530122081</v>
      </c>
    </row>
    <row r="381" spans="9:10" x14ac:dyDescent="0.25">
      <c r="I381">
        <v>276</v>
      </c>
      <c r="J381">
        <f t="shared" si="18"/>
        <v>1.9781476007338057</v>
      </c>
    </row>
    <row r="382" spans="9:10" x14ac:dyDescent="0.25">
      <c r="I382">
        <v>277</v>
      </c>
      <c r="J382">
        <f t="shared" si="18"/>
        <v>1.9702957262759964</v>
      </c>
    </row>
    <row r="383" spans="9:10" x14ac:dyDescent="0.25">
      <c r="I383">
        <v>278</v>
      </c>
      <c r="J383">
        <f t="shared" si="18"/>
        <v>1.9612616959383189</v>
      </c>
    </row>
    <row r="384" spans="9:10" x14ac:dyDescent="0.25">
      <c r="I384">
        <v>279</v>
      </c>
      <c r="J384">
        <f t="shared" si="18"/>
        <v>1.9510565162951536</v>
      </c>
    </row>
    <row r="385" spans="9:10" x14ac:dyDescent="0.25">
      <c r="I385">
        <v>280</v>
      </c>
      <c r="J385">
        <f t="shared" si="18"/>
        <v>1.9396926207859086</v>
      </c>
    </row>
    <row r="386" spans="9:10" x14ac:dyDescent="0.25">
      <c r="I386">
        <v>281</v>
      </c>
      <c r="J386">
        <f t="shared" si="18"/>
        <v>1.9271838545667872</v>
      </c>
    </row>
    <row r="387" spans="9:10" x14ac:dyDescent="0.25">
      <c r="I387">
        <v>282</v>
      </c>
      <c r="J387">
        <f t="shared" si="18"/>
        <v>1.9135454576426008</v>
      </c>
    </row>
    <row r="388" spans="9:10" x14ac:dyDescent="0.25">
      <c r="I388">
        <v>283</v>
      </c>
      <c r="J388">
        <f t="shared" si="18"/>
        <v>1.898794046299167</v>
      </c>
    </row>
    <row r="389" spans="9:10" x14ac:dyDescent="0.25">
      <c r="I389">
        <v>284</v>
      </c>
      <c r="J389">
        <f t="shared" si="18"/>
        <v>1.8829475928589272</v>
      </c>
    </row>
    <row r="390" spans="9:10" x14ac:dyDescent="0.25">
      <c r="I390">
        <v>285</v>
      </c>
      <c r="J390">
        <f t="shared" si="18"/>
        <v>1.8660254037844393</v>
      </c>
    </row>
    <row r="391" spans="9:10" x14ac:dyDescent="0.25">
      <c r="I391">
        <v>286</v>
      </c>
      <c r="J391">
        <f t="shared" si="18"/>
        <v>1.8480480961564258</v>
      </c>
    </row>
    <row r="392" spans="9:10" x14ac:dyDescent="0.25">
      <c r="I392">
        <v>287</v>
      </c>
      <c r="J392">
        <f t="shared" si="18"/>
        <v>1.8290375725550416</v>
      </c>
    </row>
    <row r="393" spans="9:10" x14ac:dyDescent="0.25">
      <c r="I393">
        <v>288</v>
      </c>
      <c r="J393">
        <f t="shared" si="18"/>
        <v>1.8090169943749477</v>
      </c>
    </row>
    <row r="394" spans="9:10" x14ac:dyDescent="0.25">
      <c r="I394">
        <v>289</v>
      </c>
      <c r="J394">
        <f t="shared" si="18"/>
        <v>1.7880107536067225</v>
      </c>
    </row>
    <row r="395" spans="9:10" x14ac:dyDescent="0.25">
      <c r="I395">
        <v>290</v>
      </c>
      <c r="J395">
        <f t="shared" si="18"/>
        <v>1.7660444431189777</v>
      </c>
    </row>
    <row r="396" spans="9:10" x14ac:dyDescent="0.25">
      <c r="I396">
        <v>291</v>
      </c>
      <c r="J396">
        <f t="shared" si="18"/>
        <v>1.743144825477394</v>
      </c>
    </row>
    <row r="397" spans="9:10" x14ac:dyDescent="0.25">
      <c r="I397">
        <v>292</v>
      </c>
      <c r="J397">
        <f t="shared" si="18"/>
        <v>1.7193398003386513</v>
      </c>
    </row>
    <row r="398" spans="9:10" x14ac:dyDescent="0.25">
      <c r="I398">
        <v>293</v>
      </c>
      <c r="J398">
        <f t="shared" si="18"/>
        <v>1.6946583704589977</v>
      </c>
    </row>
    <row r="399" spans="9:10" x14ac:dyDescent="0.25">
      <c r="I399">
        <v>294</v>
      </c>
      <c r="J399">
        <f t="shared" si="18"/>
        <v>1.6691306063588589</v>
      </c>
    </row>
    <row r="400" spans="9:10" x14ac:dyDescent="0.25">
      <c r="I400">
        <v>295</v>
      </c>
      <c r="J400">
        <f t="shared" si="18"/>
        <v>1.642787609686539</v>
      </c>
    </row>
    <row r="401" spans="9:10" x14ac:dyDescent="0.25">
      <c r="I401">
        <v>296</v>
      </c>
      <c r="J401">
        <f t="shared" si="18"/>
        <v>1.6156614753256582</v>
      </c>
    </row>
    <row r="402" spans="9:10" x14ac:dyDescent="0.25">
      <c r="I402">
        <v>297</v>
      </c>
      <c r="J402">
        <f t="shared" si="18"/>
        <v>1.5877852522924734</v>
      </c>
    </row>
    <row r="403" spans="9:10" x14ac:dyDescent="0.25">
      <c r="I403">
        <v>298</v>
      </c>
      <c r="J403">
        <f t="shared" si="18"/>
        <v>1.5591929034707475</v>
      </c>
    </row>
    <row r="404" spans="9:10" x14ac:dyDescent="0.25">
      <c r="I404">
        <v>299</v>
      </c>
      <c r="J404">
        <f t="shared" si="18"/>
        <v>1.5299192642332045</v>
      </c>
    </row>
    <row r="405" spans="9:10" x14ac:dyDescent="0.25">
      <c r="I405">
        <v>300</v>
      </c>
      <c r="J405">
        <f t="shared" si="18"/>
        <v>1.4999999999999998</v>
      </c>
    </row>
    <row r="406" spans="9:10" x14ac:dyDescent="0.25">
      <c r="I406">
        <v>301</v>
      </c>
      <c r="J406">
        <f t="shared" si="18"/>
        <v>1.469471562785891</v>
      </c>
    </row>
    <row r="407" spans="9:10" x14ac:dyDescent="0.25">
      <c r="I407">
        <v>302</v>
      </c>
      <c r="J407">
        <f t="shared" si="18"/>
        <v>1.4383711467890778</v>
      </c>
    </row>
    <row r="408" spans="9:10" x14ac:dyDescent="0.25">
      <c r="I408">
        <v>303</v>
      </c>
      <c r="J408">
        <f t="shared" si="18"/>
        <v>1.406736643075801</v>
      </c>
    </row>
    <row r="409" spans="9:10" x14ac:dyDescent="0.25">
      <c r="I409">
        <v>304</v>
      </c>
      <c r="J409">
        <f t="shared" si="18"/>
        <v>1.3746065934159117</v>
      </c>
    </row>
    <row r="410" spans="9:10" x14ac:dyDescent="0.25">
      <c r="I410">
        <v>305</v>
      </c>
      <c r="J410">
        <f t="shared" si="18"/>
        <v>1.3420201433256689</v>
      </c>
    </row>
    <row r="411" spans="9:10" x14ac:dyDescent="0.25">
      <c r="I411">
        <v>306</v>
      </c>
      <c r="J411">
        <f t="shared" si="18"/>
        <v>1.3090169943749479</v>
      </c>
    </row>
    <row r="412" spans="9:10" x14ac:dyDescent="0.25">
      <c r="I412">
        <v>307</v>
      </c>
      <c r="J412">
        <f t="shared" si="18"/>
        <v>1.275637355817</v>
      </c>
    </row>
    <row r="413" spans="9:10" x14ac:dyDescent="0.25">
      <c r="I413">
        <v>308</v>
      </c>
      <c r="J413">
        <f t="shared" si="18"/>
        <v>1.2419218955996671</v>
      </c>
    </row>
    <row r="414" spans="9:10" x14ac:dyDescent="0.25">
      <c r="I414">
        <v>309</v>
      </c>
      <c r="J414">
        <f t="shared" si="18"/>
        <v>1.2079116908177592</v>
      </c>
    </row>
    <row r="415" spans="9:10" x14ac:dyDescent="0.25">
      <c r="I415">
        <v>310</v>
      </c>
      <c r="J415">
        <f t="shared" si="18"/>
        <v>1.1736481776669305</v>
      </c>
    </row>
    <row r="416" spans="9:10" x14ac:dyDescent="0.25">
      <c r="I416">
        <v>311</v>
      </c>
      <c r="J416">
        <f t="shared" si="18"/>
        <v>1.1391731009600661</v>
      </c>
    </row>
    <row r="417" spans="9:10" x14ac:dyDescent="0.25">
      <c r="I417">
        <v>312</v>
      </c>
      <c r="J417">
        <f t="shared" si="18"/>
        <v>1.1045284632676544</v>
      </c>
    </row>
    <row r="418" spans="9:10" x14ac:dyDescent="0.25">
      <c r="I418">
        <v>313</v>
      </c>
      <c r="J418">
        <f t="shared" si="18"/>
        <v>1.069756473744125</v>
      </c>
    </row>
    <row r="419" spans="9:10" x14ac:dyDescent="0.25">
      <c r="I419">
        <v>314</v>
      </c>
      <c r="J419">
        <f t="shared" si="18"/>
        <v>1.0348994967025009</v>
      </c>
    </row>
    <row r="420" spans="9:10" x14ac:dyDescent="0.25">
      <c r="I420">
        <v>315</v>
      </c>
      <c r="J420">
        <f t="shared" si="18"/>
        <v>1.0000000000000004</v>
      </c>
    </row>
    <row r="421" spans="9:10" x14ac:dyDescent="0.25">
      <c r="I421">
        <v>316</v>
      </c>
      <c r="J421">
        <f t="shared" si="18"/>
        <v>1.0348994967025003</v>
      </c>
    </row>
    <row r="422" spans="9:10" x14ac:dyDescent="0.25">
      <c r="I422">
        <v>317</v>
      </c>
      <c r="J422">
        <f t="shared" si="18"/>
        <v>1.0697564737441259</v>
      </c>
    </row>
    <row r="423" spans="9:10" x14ac:dyDescent="0.25">
      <c r="I423">
        <v>318</v>
      </c>
      <c r="J423">
        <f t="shared" si="18"/>
        <v>1.1045284632676535</v>
      </c>
    </row>
    <row r="424" spans="9:10" x14ac:dyDescent="0.25">
      <c r="I424">
        <v>319</v>
      </c>
      <c r="J424">
        <f t="shared" si="18"/>
        <v>1.1391731009600652</v>
      </c>
    </row>
    <row r="425" spans="9:10" x14ac:dyDescent="0.25">
      <c r="I425">
        <v>320</v>
      </c>
      <c r="J425">
        <f t="shared" si="18"/>
        <v>1.1736481776669296</v>
      </c>
    </row>
    <row r="426" spans="9:10" x14ac:dyDescent="0.25">
      <c r="I426">
        <v>321</v>
      </c>
      <c r="J426">
        <f t="shared" ref="J426:J489" si="19">ABS(COS(RADIANS(2*I426)))+1</f>
        <v>1.2079116908177583</v>
      </c>
    </row>
    <row r="427" spans="9:10" x14ac:dyDescent="0.25">
      <c r="I427">
        <v>322</v>
      </c>
      <c r="J427">
        <f t="shared" si="19"/>
        <v>1.241921895599668</v>
      </c>
    </row>
    <row r="428" spans="9:10" x14ac:dyDescent="0.25">
      <c r="I428">
        <v>323</v>
      </c>
      <c r="J428">
        <f t="shared" si="19"/>
        <v>1.2756373558169991</v>
      </c>
    </row>
    <row r="429" spans="9:10" x14ac:dyDescent="0.25">
      <c r="I429">
        <v>324</v>
      </c>
      <c r="J429">
        <f t="shared" si="19"/>
        <v>1.309016994374947</v>
      </c>
    </row>
    <row r="430" spans="9:10" x14ac:dyDescent="0.25">
      <c r="I430">
        <v>325</v>
      </c>
      <c r="J430">
        <f t="shared" si="19"/>
        <v>1.342020143325668</v>
      </c>
    </row>
    <row r="431" spans="9:10" x14ac:dyDescent="0.25">
      <c r="I431">
        <v>326</v>
      </c>
      <c r="J431">
        <f t="shared" si="19"/>
        <v>1.3746065934159124</v>
      </c>
    </row>
    <row r="432" spans="9:10" x14ac:dyDescent="0.25">
      <c r="I432">
        <v>327</v>
      </c>
      <c r="J432">
        <f t="shared" si="19"/>
        <v>1.4067366430758004</v>
      </c>
    </row>
    <row r="433" spans="9:10" x14ac:dyDescent="0.25">
      <c r="I433">
        <v>328</v>
      </c>
      <c r="J433">
        <f t="shared" si="19"/>
        <v>1.4383711467890772</v>
      </c>
    </row>
    <row r="434" spans="9:10" x14ac:dyDescent="0.25">
      <c r="I434">
        <v>329</v>
      </c>
      <c r="J434">
        <f t="shared" si="19"/>
        <v>1.4694715627858903</v>
      </c>
    </row>
    <row r="435" spans="9:10" x14ac:dyDescent="0.25">
      <c r="I435">
        <v>330</v>
      </c>
      <c r="J435">
        <f t="shared" si="19"/>
        <v>1.4999999999999991</v>
      </c>
    </row>
    <row r="436" spans="9:10" x14ac:dyDescent="0.25">
      <c r="I436">
        <v>331</v>
      </c>
      <c r="J436">
        <f t="shared" si="19"/>
        <v>1.5299192642332051</v>
      </c>
    </row>
    <row r="437" spans="9:10" x14ac:dyDescent="0.25">
      <c r="I437">
        <v>332</v>
      </c>
      <c r="J437">
        <f t="shared" si="19"/>
        <v>1.5591929034707468</v>
      </c>
    </row>
    <row r="438" spans="9:10" x14ac:dyDescent="0.25">
      <c r="I438">
        <v>333</v>
      </c>
      <c r="J438">
        <f t="shared" si="19"/>
        <v>1.5877852522924729</v>
      </c>
    </row>
    <row r="439" spans="9:10" x14ac:dyDescent="0.25">
      <c r="I439">
        <v>334</v>
      </c>
      <c r="J439">
        <f t="shared" si="19"/>
        <v>1.6156614753256577</v>
      </c>
    </row>
    <row r="440" spans="9:10" x14ac:dyDescent="0.25">
      <c r="I440">
        <v>335</v>
      </c>
      <c r="J440">
        <f t="shared" si="19"/>
        <v>1.6427876096865397</v>
      </c>
    </row>
    <row r="441" spans="9:10" x14ac:dyDescent="0.25">
      <c r="I441">
        <v>336</v>
      </c>
      <c r="J441">
        <f t="shared" si="19"/>
        <v>1.6691306063588582</v>
      </c>
    </row>
    <row r="442" spans="9:10" x14ac:dyDescent="0.25">
      <c r="I442">
        <v>337</v>
      </c>
      <c r="J442">
        <f t="shared" si="19"/>
        <v>1.6946583704589973</v>
      </c>
    </row>
    <row r="443" spans="9:10" x14ac:dyDescent="0.25">
      <c r="I443">
        <v>338</v>
      </c>
      <c r="J443">
        <f t="shared" si="19"/>
        <v>1.7193398003386506</v>
      </c>
    </row>
    <row r="444" spans="9:10" x14ac:dyDescent="0.25">
      <c r="I444">
        <v>339</v>
      </c>
      <c r="J444">
        <f t="shared" si="19"/>
        <v>1.7431448254773936</v>
      </c>
    </row>
    <row r="445" spans="9:10" x14ac:dyDescent="0.25">
      <c r="I445">
        <v>340</v>
      </c>
      <c r="J445">
        <f t="shared" si="19"/>
        <v>1.7660444431189783</v>
      </c>
    </row>
    <row r="446" spans="9:10" x14ac:dyDescent="0.25">
      <c r="I446">
        <v>341</v>
      </c>
      <c r="J446">
        <f t="shared" si="19"/>
        <v>1.7880107536067218</v>
      </c>
    </row>
    <row r="447" spans="9:10" x14ac:dyDescent="0.25">
      <c r="I447">
        <v>342</v>
      </c>
      <c r="J447">
        <f t="shared" si="19"/>
        <v>1.809016994374947</v>
      </c>
    </row>
    <row r="448" spans="9:10" x14ac:dyDescent="0.25">
      <c r="I448">
        <v>343</v>
      </c>
      <c r="J448">
        <f t="shared" si="19"/>
        <v>1.8290375725550412</v>
      </c>
    </row>
    <row r="449" spans="9:10" x14ac:dyDescent="0.25">
      <c r="I449">
        <v>344</v>
      </c>
      <c r="J449">
        <f t="shared" si="19"/>
        <v>1.8480480961564263</v>
      </c>
    </row>
    <row r="450" spans="9:10" x14ac:dyDescent="0.25">
      <c r="I450">
        <v>345</v>
      </c>
      <c r="J450">
        <f t="shared" si="19"/>
        <v>1.8660254037844388</v>
      </c>
    </row>
    <row r="451" spans="9:10" x14ac:dyDescent="0.25">
      <c r="I451">
        <v>346</v>
      </c>
      <c r="J451">
        <f t="shared" si="19"/>
        <v>1.8829475928589268</v>
      </c>
    </row>
    <row r="452" spans="9:10" x14ac:dyDescent="0.25">
      <c r="I452">
        <v>347</v>
      </c>
      <c r="J452">
        <f t="shared" si="19"/>
        <v>1.8987940462991668</v>
      </c>
    </row>
    <row r="453" spans="9:10" x14ac:dyDescent="0.25">
      <c r="I453">
        <v>348</v>
      </c>
      <c r="J453">
        <f t="shared" si="19"/>
        <v>1.9135454576426003</v>
      </c>
    </row>
    <row r="454" spans="9:10" x14ac:dyDescent="0.25">
      <c r="I454">
        <v>349</v>
      </c>
      <c r="J454">
        <f t="shared" si="19"/>
        <v>1.9271838545667874</v>
      </c>
    </row>
    <row r="455" spans="9:10" x14ac:dyDescent="0.25">
      <c r="I455">
        <v>350</v>
      </c>
      <c r="J455">
        <f t="shared" si="19"/>
        <v>1.9396926207859084</v>
      </c>
    </row>
    <row r="456" spans="9:10" x14ac:dyDescent="0.25">
      <c r="I456">
        <v>351</v>
      </c>
      <c r="J456">
        <f t="shared" si="19"/>
        <v>1.9510565162951534</v>
      </c>
    </row>
    <row r="457" spans="9:10" x14ac:dyDescent="0.25">
      <c r="I457">
        <v>352</v>
      </c>
      <c r="J457">
        <f t="shared" si="19"/>
        <v>1.9612616959383187</v>
      </c>
    </row>
    <row r="458" spans="9:10" x14ac:dyDescent="0.25">
      <c r="I458">
        <v>353</v>
      </c>
      <c r="J458">
        <f t="shared" si="19"/>
        <v>1.9702957262759966</v>
      </c>
    </row>
    <row r="459" spans="9:10" x14ac:dyDescent="0.25">
      <c r="I459">
        <v>354</v>
      </c>
      <c r="J459">
        <f t="shared" si="19"/>
        <v>1.9781476007338057</v>
      </c>
    </row>
    <row r="460" spans="9:10" x14ac:dyDescent="0.25">
      <c r="I460">
        <v>355</v>
      </c>
      <c r="J460">
        <f t="shared" si="19"/>
        <v>1.9848077530122081</v>
      </c>
    </row>
    <row r="461" spans="9:10" x14ac:dyDescent="0.25">
      <c r="I461">
        <v>356</v>
      </c>
      <c r="J461">
        <f t="shared" si="19"/>
        <v>1.9902680687415701</v>
      </c>
    </row>
    <row r="462" spans="9:10" x14ac:dyDescent="0.25">
      <c r="I462">
        <v>357</v>
      </c>
      <c r="J462">
        <f t="shared" si="19"/>
        <v>1.9945218953682731</v>
      </c>
    </row>
    <row r="463" spans="9:10" x14ac:dyDescent="0.25">
      <c r="I463">
        <v>358</v>
      </c>
      <c r="J463">
        <f t="shared" si="19"/>
        <v>1.9975640502598244</v>
      </c>
    </row>
    <row r="464" spans="9:10" x14ac:dyDescent="0.25">
      <c r="I464">
        <v>359</v>
      </c>
      <c r="J464">
        <f t="shared" si="19"/>
        <v>1.9993908270190959</v>
      </c>
    </row>
    <row r="465" spans="9:10" x14ac:dyDescent="0.25">
      <c r="I465">
        <v>360</v>
      </c>
      <c r="J465">
        <f t="shared" si="19"/>
        <v>2</v>
      </c>
    </row>
    <row r="466" spans="9:10" x14ac:dyDescent="0.25">
      <c r="I466">
        <v>361</v>
      </c>
      <c r="J466">
        <f t="shared" si="19"/>
        <v>1.9993908270190959</v>
      </c>
    </row>
    <row r="467" spans="9:10" x14ac:dyDescent="0.25">
      <c r="I467">
        <v>362</v>
      </c>
      <c r="J467">
        <f t="shared" si="19"/>
        <v>1.9975640502598242</v>
      </c>
    </row>
    <row r="468" spans="9:10" x14ac:dyDescent="0.25">
      <c r="I468">
        <v>363</v>
      </c>
      <c r="J468">
        <f t="shared" si="19"/>
        <v>1.9945218953682733</v>
      </c>
    </row>
    <row r="469" spans="9:10" x14ac:dyDescent="0.25">
      <c r="I469">
        <v>364</v>
      </c>
      <c r="J469">
        <f t="shared" si="19"/>
        <v>1.9902680687415704</v>
      </c>
    </row>
    <row r="470" spans="9:10" x14ac:dyDescent="0.25">
      <c r="I470">
        <v>365</v>
      </c>
      <c r="J470">
        <f t="shared" si="19"/>
        <v>1.9848077530122081</v>
      </c>
    </row>
    <row r="471" spans="9:10" x14ac:dyDescent="0.25">
      <c r="I471">
        <v>366</v>
      </c>
      <c r="J471">
        <f t="shared" si="19"/>
        <v>1.9781476007338059</v>
      </c>
    </row>
    <row r="472" spans="9:10" x14ac:dyDescent="0.25">
      <c r="I472">
        <v>367</v>
      </c>
      <c r="J472">
        <f t="shared" si="19"/>
        <v>1.9702957262759964</v>
      </c>
    </row>
    <row r="473" spans="9:10" x14ac:dyDescent="0.25">
      <c r="I473">
        <v>368</v>
      </c>
      <c r="J473">
        <f t="shared" si="19"/>
        <v>1.9612616959383189</v>
      </c>
    </row>
    <row r="474" spans="9:10" x14ac:dyDescent="0.25">
      <c r="I474">
        <v>369</v>
      </c>
      <c r="J474">
        <f t="shared" si="19"/>
        <v>1.9510565162951536</v>
      </c>
    </row>
    <row r="475" spans="9:10" x14ac:dyDescent="0.25">
      <c r="I475">
        <v>370</v>
      </c>
      <c r="J475">
        <f t="shared" si="19"/>
        <v>1.9396926207859086</v>
      </c>
    </row>
    <row r="476" spans="9:10" x14ac:dyDescent="0.25">
      <c r="I476">
        <v>371</v>
      </c>
      <c r="J476">
        <f t="shared" si="19"/>
        <v>1.9271838545667872</v>
      </c>
    </row>
    <row r="477" spans="9:10" x14ac:dyDescent="0.25">
      <c r="I477">
        <v>372</v>
      </c>
      <c r="J477">
        <f t="shared" si="19"/>
        <v>1.9135454576426008</v>
      </c>
    </row>
    <row r="478" spans="9:10" x14ac:dyDescent="0.25">
      <c r="I478">
        <v>373</v>
      </c>
      <c r="J478">
        <f t="shared" si="19"/>
        <v>1.8987940462991673</v>
      </c>
    </row>
    <row r="479" spans="9:10" x14ac:dyDescent="0.25">
      <c r="I479">
        <v>374</v>
      </c>
      <c r="J479">
        <f t="shared" si="19"/>
        <v>1.8829475928589274</v>
      </c>
    </row>
    <row r="480" spans="9:10" x14ac:dyDescent="0.25">
      <c r="I480">
        <v>375</v>
      </c>
      <c r="J480">
        <f t="shared" si="19"/>
        <v>1.8660254037844393</v>
      </c>
    </row>
    <row r="481" spans="9:10" x14ac:dyDescent="0.25">
      <c r="I481">
        <v>376</v>
      </c>
      <c r="J481">
        <f t="shared" si="19"/>
        <v>1.8480480961564258</v>
      </c>
    </row>
    <row r="482" spans="9:10" x14ac:dyDescent="0.25">
      <c r="I482">
        <v>377</v>
      </c>
      <c r="J482">
        <f t="shared" si="19"/>
        <v>1.8290375725550416</v>
      </c>
    </row>
    <row r="483" spans="9:10" x14ac:dyDescent="0.25">
      <c r="I483">
        <v>378</v>
      </c>
      <c r="J483">
        <f t="shared" si="19"/>
        <v>1.8090169943749477</v>
      </c>
    </row>
    <row r="484" spans="9:10" x14ac:dyDescent="0.25">
      <c r="I484">
        <v>379</v>
      </c>
      <c r="J484">
        <f t="shared" si="19"/>
        <v>1.7880107536067227</v>
      </c>
    </row>
    <row r="485" spans="9:10" x14ac:dyDescent="0.25">
      <c r="I485">
        <v>380</v>
      </c>
      <c r="J485">
        <f t="shared" si="19"/>
        <v>1.7660444431189777</v>
      </c>
    </row>
    <row r="486" spans="9:10" x14ac:dyDescent="0.25">
      <c r="I486">
        <v>381</v>
      </c>
      <c r="J486">
        <f t="shared" si="19"/>
        <v>1.743144825477394</v>
      </c>
    </row>
    <row r="487" spans="9:10" x14ac:dyDescent="0.25">
      <c r="I487">
        <v>382</v>
      </c>
      <c r="J487">
        <f t="shared" si="19"/>
        <v>1.7193398003386515</v>
      </c>
    </row>
    <row r="488" spans="9:10" x14ac:dyDescent="0.25">
      <c r="I488">
        <v>383</v>
      </c>
      <c r="J488">
        <f t="shared" si="19"/>
        <v>1.6946583704589977</v>
      </c>
    </row>
    <row r="489" spans="9:10" x14ac:dyDescent="0.25">
      <c r="I489">
        <v>384</v>
      </c>
      <c r="J489">
        <f t="shared" si="19"/>
        <v>1.6691306063588578</v>
      </c>
    </row>
    <row r="490" spans="9:10" x14ac:dyDescent="0.25">
      <c r="I490">
        <v>385</v>
      </c>
      <c r="J490">
        <f t="shared" ref="J490:J525" si="20">ABS(COS(RADIANS(2*I490)))+1</f>
        <v>1.6427876096865393</v>
      </c>
    </row>
    <row r="491" spans="9:10" x14ac:dyDescent="0.25">
      <c r="I491">
        <v>386</v>
      </c>
      <c r="J491">
        <f t="shared" si="20"/>
        <v>1.6156614753256584</v>
      </c>
    </row>
    <row r="492" spans="9:10" x14ac:dyDescent="0.25">
      <c r="I492">
        <v>387</v>
      </c>
      <c r="J492">
        <f t="shared" si="20"/>
        <v>1.5877852522924736</v>
      </c>
    </row>
    <row r="493" spans="9:10" x14ac:dyDescent="0.25">
      <c r="I493">
        <v>388</v>
      </c>
      <c r="J493">
        <f t="shared" si="20"/>
        <v>1.5591929034707475</v>
      </c>
    </row>
    <row r="494" spans="9:10" x14ac:dyDescent="0.25">
      <c r="I494">
        <v>389</v>
      </c>
      <c r="J494">
        <f t="shared" si="20"/>
        <v>1.5299192642332047</v>
      </c>
    </row>
    <row r="495" spans="9:10" x14ac:dyDescent="0.25">
      <c r="I495">
        <v>390</v>
      </c>
      <c r="J495">
        <f t="shared" si="20"/>
        <v>1.5</v>
      </c>
    </row>
    <row r="496" spans="9:10" x14ac:dyDescent="0.25">
      <c r="I496">
        <v>391</v>
      </c>
      <c r="J496">
        <f t="shared" si="20"/>
        <v>1.4694715627858912</v>
      </c>
    </row>
    <row r="497" spans="9:10" x14ac:dyDescent="0.25">
      <c r="I497">
        <v>392</v>
      </c>
      <c r="J497">
        <f t="shared" si="20"/>
        <v>1.4383711467890781</v>
      </c>
    </row>
    <row r="498" spans="9:10" x14ac:dyDescent="0.25">
      <c r="I498">
        <v>393</v>
      </c>
      <c r="J498">
        <f t="shared" si="20"/>
        <v>1.4067366430757997</v>
      </c>
    </row>
    <row r="499" spans="9:10" x14ac:dyDescent="0.25">
      <c r="I499">
        <v>394</v>
      </c>
      <c r="J499">
        <f t="shared" si="20"/>
        <v>1.3746065934159117</v>
      </c>
    </row>
    <row r="500" spans="9:10" x14ac:dyDescent="0.25">
      <c r="I500">
        <v>395</v>
      </c>
      <c r="J500">
        <f t="shared" si="20"/>
        <v>1.3420201433256689</v>
      </c>
    </row>
    <row r="501" spans="9:10" x14ac:dyDescent="0.25">
      <c r="I501">
        <v>396</v>
      </c>
      <c r="J501">
        <f t="shared" si="20"/>
        <v>1.3090169943749479</v>
      </c>
    </row>
    <row r="502" spans="9:10" x14ac:dyDescent="0.25">
      <c r="I502">
        <v>397</v>
      </c>
      <c r="J502">
        <f t="shared" si="20"/>
        <v>1.275637355817</v>
      </c>
    </row>
    <row r="503" spans="9:10" x14ac:dyDescent="0.25">
      <c r="I503">
        <v>398</v>
      </c>
      <c r="J503">
        <f t="shared" si="20"/>
        <v>1.2419218955996674</v>
      </c>
    </row>
    <row r="504" spans="9:10" x14ac:dyDescent="0.25">
      <c r="I504">
        <v>399</v>
      </c>
      <c r="J504">
        <f t="shared" si="20"/>
        <v>1.2079116908177592</v>
      </c>
    </row>
    <row r="505" spans="9:10" x14ac:dyDescent="0.25">
      <c r="I505">
        <v>400</v>
      </c>
      <c r="J505">
        <f t="shared" si="20"/>
        <v>1.1736481776669307</v>
      </c>
    </row>
    <row r="506" spans="9:10" x14ac:dyDescent="0.25">
      <c r="I506">
        <v>401</v>
      </c>
      <c r="J506">
        <f t="shared" si="20"/>
        <v>1.1391731009600661</v>
      </c>
    </row>
    <row r="507" spans="9:10" x14ac:dyDescent="0.25">
      <c r="I507">
        <v>402</v>
      </c>
      <c r="J507">
        <f t="shared" si="20"/>
        <v>1.1045284632676529</v>
      </c>
    </row>
    <row r="508" spans="9:10" x14ac:dyDescent="0.25">
      <c r="I508">
        <v>403</v>
      </c>
      <c r="J508">
        <f t="shared" si="20"/>
        <v>1.069756473744125</v>
      </c>
    </row>
    <row r="509" spans="9:10" x14ac:dyDescent="0.25">
      <c r="I509">
        <v>404</v>
      </c>
      <c r="J509">
        <f t="shared" si="20"/>
        <v>1.0348994967025011</v>
      </c>
    </row>
    <row r="510" spans="9:10" x14ac:dyDescent="0.25">
      <c r="I510">
        <v>405</v>
      </c>
      <c r="J510">
        <f t="shared" si="20"/>
        <v>1.0000000000000004</v>
      </c>
    </row>
    <row r="511" spans="9:10" x14ac:dyDescent="0.25">
      <c r="I511">
        <v>406</v>
      </c>
      <c r="J511">
        <f t="shared" si="20"/>
        <v>1.0348994967025</v>
      </c>
    </row>
    <row r="512" spans="9:10" x14ac:dyDescent="0.25">
      <c r="I512">
        <v>407</v>
      </c>
      <c r="J512">
        <f t="shared" si="20"/>
        <v>1.0697564737441256</v>
      </c>
    </row>
    <row r="513" spans="9:10" x14ac:dyDescent="0.25">
      <c r="I513">
        <v>408</v>
      </c>
      <c r="J513">
        <f t="shared" si="20"/>
        <v>1.1045284632676535</v>
      </c>
    </row>
    <row r="514" spans="9:10" x14ac:dyDescent="0.25">
      <c r="I514">
        <v>409</v>
      </c>
      <c r="J514">
        <f t="shared" si="20"/>
        <v>1.1391731009600652</v>
      </c>
    </row>
    <row r="515" spans="9:10" x14ac:dyDescent="0.25">
      <c r="I515">
        <v>410</v>
      </c>
      <c r="J515">
        <f t="shared" si="20"/>
        <v>1.1736481776669296</v>
      </c>
    </row>
    <row r="516" spans="9:10" x14ac:dyDescent="0.25">
      <c r="I516">
        <v>411</v>
      </c>
      <c r="J516">
        <f t="shared" si="20"/>
        <v>1.2079116908177601</v>
      </c>
    </row>
    <row r="517" spans="9:10" x14ac:dyDescent="0.25">
      <c r="I517">
        <v>412</v>
      </c>
      <c r="J517">
        <f t="shared" si="20"/>
        <v>1.241921895599668</v>
      </c>
    </row>
    <row r="518" spans="9:10" x14ac:dyDescent="0.25">
      <c r="I518">
        <v>413</v>
      </c>
      <c r="J518">
        <f t="shared" si="20"/>
        <v>1.2756373558169991</v>
      </c>
    </row>
    <row r="519" spans="9:10" x14ac:dyDescent="0.25">
      <c r="I519">
        <v>414</v>
      </c>
      <c r="J519">
        <f t="shared" si="20"/>
        <v>1.309016994374947</v>
      </c>
    </row>
    <row r="520" spans="9:10" x14ac:dyDescent="0.25">
      <c r="I520">
        <v>415</v>
      </c>
      <c r="J520">
        <f t="shared" si="20"/>
        <v>1.3420201433256678</v>
      </c>
    </row>
    <row r="521" spans="9:10" x14ac:dyDescent="0.25">
      <c r="I521">
        <v>416</v>
      </c>
      <c r="J521">
        <f t="shared" si="20"/>
        <v>1.3746065934159124</v>
      </c>
    </row>
    <row r="522" spans="9:10" x14ac:dyDescent="0.25">
      <c r="I522">
        <v>417</v>
      </c>
      <c r="J522">
        <f t="shared" si="20"/>
        <v>1.4067366430758002</v>
      </c>
    </row>
    <row r="523" spans="9:10" x14ac:dyDescent="0.25">
      <c r="I523">
        <v>418</v>
      </c>
      <c r="J523">
        <f t="shared" si="20"/>
        <v>1.438371146789077</v>
      </c>
    </row>
    <row r="524" spans="9:10" x14ac:dyDescent="0.25">
      <c r="I524">
        <v>419</v>
      </c>
      <c r="J524">
        <f t="shared" si="20"/>
        <v>1.4694715627858901</v>
      </c>
    </row>
    <row r="525" spans="9:10" x14ac:dyDescent="0.25">
      <c r="I525">
        <v>420</v>
      </c>
      <c r="J525">
        <f t="shared" si="20"/>
        <v>1.5000000000000004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A5485-B526-4F4A-98E6-46596A9C7AC6}">
  <dimension ref="A1:B6"/>
  <sheetViews>
    <sheetView workbookViewId="0">
      <selection activeCell="A5" sqref="A5"/>
    </sheetView>
  </sheetViews>
  <sheetFormatPr defaultRowHeight="15" x14ac:dyDescent="0.25"/>
  <cols>
    <col min="1" max="1" width="11.7109375" customWidth="1"/>
    <col min="2" max="2" width="50.140625" customWidth="1"/>
  </cols>
  <sheetData>
    <row r="1" spans="1:2" x14ac:dyDescent="0.25">
      <c r="A1" t="s">
        <v>1153</v>
      </c>
    </row>
    <row r="2" spans="1:2" x14ac:dyDescent="0.25">
      <c r="A2">
        <v>0</v>
      </c>
      <c r="B2" t="s">
        <v>1154</v>
      </c>
    </row>
    <row r="3" spans="1:2" x14ac:dyDescent="0.25">
      <c r="A3">
        <v>1</v>
      </c>
      <c r="B3" t="s">
        <v>1155</v>
      </c>
    </row>
    <row r="4" spans="1:2" x14ac:dyDescent="0.25">
      <c r="A4">
        <v>2</v>
      </c>
      <c r="B4" t="s">
        <v>1156</v>
      </c>
    </row>
    <row r="5" spans="1:2" x14ac:dyDescent="0.25">
      <c r="A5">
        <v>3</v>
      </c>
      <c r="B5" t="s">
        <v>1157</v>
      </c>
    </row>
    <row r="6" spans="1:2" x14ac:dyDescent="0.25">
      <c r="A6">
        <v>4</v>
      </c>
      <c r="B6" t="s">
        <v>1158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2CC9A-E743-4191-A934-02A4E166F560}">
  <dimension ref="A1:I93"/>
  <sheetViews>
    <sheetView workbookViewId="0">
      <pane ySplit="1" topLeftCell="A50" activePane="bottomLeft" state="frozen"/>
      <selection pane="bottomLeft" activeCell="A13" sqref="A13"/>
    </sheetView>
  </sheetViews>
  <sheetFormatPr defaultRowHeight="15" x14ac:dyDescent="0.25"/>
  <cols>
    <col min="1" max="1" width="19.85546875" customWidth="1"/>
    <col min="2" max="2" width="52.140625" customWidth="1"/>
    <col min="3" max="3" width="17.7109375" style="33" customWidth="1"/>
    <col min="4" max="4" width="18.85546875" style="33" customWidth="1"/>
    <col min="5" max="7" width="9.140625" style="33"/>
    <col min="8" max="8" width="13.140625" style="33" customWidth="1"/>
  </cols>
  <sheetData>
    <row r="1" spans="1:9" x14ac:dyDescent="0.25">
      <c r="A1" t="s">
        <v>1175</v>
      </c>
      <c r="B1" t="s">
        <v>1185</v>
      </c>
      <c r="C1" s="33" t="s">
        <v>1218</v>
      </c>
      <c r="D1" s="33" t="s">
        <v>1217</v>
      </c>
      <c r="E1" s="33" t="s">
        <v>1271</v>
      </c>
      <c r="F1" s="33" t="s">
        <v>65</v>
      </c>
      <c r="G1" s="33" t="s">
        <v>148</v>
      </c>
      <c r="H1" s="33" t="s">
        <v>104</v>
      </c>
      <c r="I1" s="33" t="s">
        <v>1176</v>
      </c>
    </row>
    <row r="2" spans="1:9" x14ac:dyDescent="0.25">
      <c r="A2" t="s">
        <v>1231</v>
      </c>
      <c r="B2" t="s">
        <v>1189</v>
      </c>
      <c r="C2" s="33" t="s">
        <v>85</v>
      </c>
      <c r="D2" s="33" t="s">
        <v>85</v>
      </c>
      <c r="I2" s="33"/>
    </row>
    <row r="3" spans="1:9" x14ac:dyDescent="0.25">
      <c r="A3" t="s">
        <v>1177</v>
      </c>
      <c r="B3" t="s">
        <v>1253</v>
      </c>
      <c r="C3" s="33" t="s">
        <v>85</v>
      </c>
      <c r="D3" s="33" t="s">
        <v>85</v>
      </c>
      <c r="I3" s="33"/>
    </row>
    <row r="4" spans="1:9" x14ac:dyDescent="0.25">
      <c r="A4" t="s">
        <v>1187</v>
      </c>
      <c r="B4" t="s">
        <v>1190</v>
      </c>
      <c r="C4" s="33" t="s">
        <v>85</v>
      </c>
      <c r="D4" s="33" t="s">
        <v>85</v>
      </c>
      <c r="I4" s="33"/>
    </row>
    <row r="5" spans="1:9" x14ac:dyDescent="0.25">
      <c r="A5" t="s">
        <v>1241</v>
      </c>
      <c r="B5" t="s">
        <v>1213</v>
      </c>
      <c r="D5" s="33" t="s">
        <v>85</v>
      </c>
      <c r="I5" s="33"/>
    </row>
    <row r="6" spans="1:9" x14ac:dyDescent="0.25">
      <c r="A6" t="s">
        <v>1240</v>
      </c>
      <c r="B6" t="s">
        <v>1212</v>
      </c>
      <c r="D6" s="33" t="s">
        <v>85</v>
      </c>
      <c r="I6" s="33"/>
    </row>
    <row r="7" spans="1:9" x14ac:dyDescent="0.25">
      <c r="A7" t="s">
        <v>1307</v>
      </c>
      <c r="B7" t="s">
        <v>1254</v>
      </c>
      <c r="I7" s="33"/>
    </row>
    <row r="8" spans="1:9" x14ac:dyDescent="0.25">
      <c r="A8" t="s">
        <v>1239</v>
      </c>
      <c r="B8" t="s">
        <v>1202</v>
      </c>
      <c r="C8" s="33" t="s">
        <v>85</v>
      </c>
      <c r="D8" s="33" t="s">
        <v>85</v>
      </c>
      <c r="I8" s="33"/>
    </row>
    <row r="9" spans="1:9" x14ac:dyDescent="0.25">
      <c r="A9" t="s">
        <v>1178</v>
      </c>
      <c r="B9" t="s">
        <v>1188</v>
      </c>
      <c r="C9" s="33" t="s">
        <v>85</v>
      </c>
      <c r="D9" s="33" t="s">
        <v>85</v>
      </c>
      <c r="I9" s="33"/>
    </row>
    <row r="10" spans="1:9" x14ac:dyDescent="0.25">
      <c r="A10" t="s">
        <v>1179</v>
      </c>
      <c r="B10" t="s">
        <v>1188</v>
      </c>
      <c r="C10" s="33" t="s">
        <v>85</v>
      </c>
      <c r="D10" s="33" t="s">
        <v>85</v>
      </c>
      <c r="I10" s="33"/>
    </row>
    <row r="11" spans="1:9" x14ac:dyDescent="0.25">
      <c r="A11" t="s">
        <v>1242</v>
      </c>
      <c r="B11" t="s">
        <v>1281</v>
      </c>
      <c r="D11" s="33" t="s">
        <v>85</v>
      </c>
      <c r="I11" s="33"/>
    </row>
    <row r="12" spans="1:9" x14ac:dyDescent="0.25">
      <c r="A12" t="s">
        <v>1243</v>
      </c>
      <c r="B12" t="s">
        <v>1280</v>
      </c>
      <c r="D12" s="33" t="s">
        <v>85</v>
      </c>
      <c r="I12" s="33"/>
    </row>
    <row r="13" spans="1:9" x14ac:dyDescent="0.25">
      <c r="A13" t="s">
        <v>1309</v>
      </c>
      <c r="B13" t="s">
        <v>1279</v>
      </c>
      <c r="I13" s="33"/>
    </row>
    <row r="14" spans="1:9" x14ac:dyDescent="0.25">
      <c r="A14" t="s">
        <v>1237</v>
      </c>
      <c r="B14" t="s">
        <v>1215</v>
      </c>
      <c r="D14" s="33" t="s">
        <v>85</v>
      </c>
      <c r="I14" s="33"/>
    </row>
    <row r="15" spans="1:9" x14ac:dyDescent="0.25">
      <c r="A15" t="s">
        <v>1238</v>
      </c>
      <c r="B15" t="s">
        <v>1216</v>
      </c>
      <c r="D15" s="33" t="s">
        <v>85</v>
      </c>
      <c r="I15" s="33"/>
    </row>
    <row r="16" spans="1:9" x14ac:dyDescent="0.25">
      <c r="A16" t="s">
        <v>1184</v>
      </c>
      <c r="B16" t="s">
        <v>1214</v>
      </c>
      <c r="C16" s="33" t="s">
        <v>85</v>
      </c>
      <c r="D16" s="33" t="s">
        <v>85</v>
      </c>
      <c r="I16" s="33"/>
    </row>
    <row r="17" spans="1:9" x14ac:dyDescent="0.25">
      <c r="A17" t="s">
        <v>1234</v>
      </c>
      <c r="B17" t="s">
        <v>1186</v>
      </c>
      <c r="C17" s="33" t="s">
        <v>85</v>
      </c>
      <c r="D17" s="33" t="s">
        <v>85</v>
      </c>
      <c r="I17" s="33"/>
    </row>
    <row r="18" spans="1:9" x14ac:dyDescent="0.25">
      <c r="A18" t="s">
        <v>1236</v>
      </c>
      <c r="B18" t="s">
        <v>1191</v>
      </c>
      <c r="C18" s="33" t="s">
        <v>85</v>
      </c>
      <c r="D18" s="33" t="s">
        <v>85</v>
      </c>
      <c r="F18" s="33" t="s">
        <v>85</v>
      </c>
      <c r="I18" s="33"/>
    </row>
    <row r="19" spans="1:9" x14ac:dyDescent="0.25">
      <c r="A19" t="s">
        <v>1235</v>
      </c>
      <c r="B19" t="s">
        <v>1192</v>
      </c>
      <c r="C19" s="33" t="s">
        <v>85</v>
      </c>
      <c r="D19" s="33" t="s">
        <v>85</v>
      </c>
      <c r="F19" s="33" t="s">
        <v>85</v>
      </c>
      <c r="I19" s="33"/>
    </row>
    <row r="20" spans="1:9" x14ac:dyDescent="0.25">
      <c r="A20" t="s">
        <v>1278</v>
      </c>
      <c r="B20" t="s">
        <v>1193</v>
      </c>
      <c r="C20" s="33" t="s">
        <v>85</v>
      </c>
      <c r="D20" s="33" t="s">
        <v>85</v>
      </c>
      <c r="F20" s="33" t="s">
        <v>85</v>
      </c>
      <c r="I20" s="33"/>
    </row>
    <row r="21" spans="1:9" x14ac:dyDescent="0.25">
      <c r="A21" t="s">
        <v>1308</v>
      </c>
      <c r="B21" t="s">
        <v>1275</v>
      </c>
      <c r="I21" s="33"/>
    </row>
    <row r="22" spans="1:9" x14ac:dyDescent="0.25">
      <c r="A22" t="s">
        <v>1276</v>
      </c>
      <c r="B22" t="s">
        <v>1194</v>
      </c>
      <c r="C22" s="33" t="s">
        <v>85</v>
      </c>
      <c r="D22" s="33" t="s">
        <v>85</v>
      </c>
      <c r="F22" s="33" t="s">
        <v>85</v>
      </c>
      <c r="I22" s="33"/>
    </row>
    <row r="23" spans="1:9" x14ac:dyDescent="0.25">
      <c r="A23" t="s">
        <v>1255</v>
      </c>
      <c r="B23" t="s">
        <v>1256</v>
      </c>
      <c r="C23" s="33" t="s">
        <v>85</v>
      </c>
      <c r="D23" s="33" t="s">
        <v>85</v>
      </c>
      <c r="I23" s="33"/>
    </row>
    <row r="24" spans="1:9" x14ac:dyDescent="0.25">
      <c r="A24" t="s">
        <v>1252</v>
      </c>
      <c r="B24" t="s">
        <v>1200</v>
      </c>
      <c r="C24" s="33" t="s">
        <v>85</v>
      </c>
      <c r="D24" s="33" t="s">
        <v>85</v>
      </c>
      <c r="I24" s="33"/>
    </row>
    <row r="25" spans="1:9" x14ac:dyDescent="0.25">
      <c r="A25" t="s">
        <v>1250</v>
      </c>
      <c r="B25" t="s">
        <v>1201</v>
      </c>
      <c r="C25" s="33" t="s">
        <v>85</v>
      </c>
      <c r="D25" s="33" t="s">
        <v>85</v>
      </c>
      <c r="I25" s="33"/>
    </row>
    <row r="26" spans="1:9" x14ac:dyDescent="0.25">
      <c r="A26" t="s">
        <v>1251</v>
      </c>
      <c r="B26" t="s">
        <v>1219</v>
      </c>
      <c r="D26" s="33" t="s">
        <v>85</v>
      </c>
      <c r="I26" s="33"/>
    </row>
    <row r="27" spans="1:9" x14ac:dyDescent="0.25">
      <c r="A27" t="s">
        <v>1203</v>
      </c>
      <c r="B27" t="s">
        <v>1204</v>
      </c>
      <c r="C27" s="33" t="s">
        <v>85</v>
      </c>
      <c r="D27" s="33" t="s">
        <v>85</v>
      </c>
      <c r="I27" s="33"/>
    </row>
    <row r="28" spans="1:9" x14ac:dyDescent="0.25">
      <c r="A28" t="s">
        <v>1208</v>
      </c>
      <c r="B28" t="s">
        <v>1210</v>
      </c>
      <c r="C28" s="33" t="s">
        <v>85</v>
      </c>
      <c r="D28" s="33" t="s">
        <v>85</v>
      </c>
      <c r="I28" s="33"/>
    </row>
    <row r="29" spans="1:9" x14ac:dyDescent="0.25">
      <c r="A29" t="s">
        <v>1209</v>
      </c>
      <c r="B29" t="s">
        <v>1211</v>
      </c>
      <c r="C29" s="33" t="s">
        <v>85</v>
      </c>
      <c r="D29" s="33" t="s">
        <v>85</v>
      </c>
      <c r="I29" s="33"/>
    </row>
    <row r="30" spans="1:9" x14ac:dyDescent="0.25">
      <c r="A30" t="s">
        <v>1259</v>
      </c>
      <c r="B30" t="s">
        <v>1205</v>
      </c>
      <c r="C30" s="33" t="s">
        <v>85</v>
      </c>
      <c r="D30" s="33" t="s">
        <v>85</v>
      </c>
      <c r="I30" s="33"/>
    </row>
    <row r="31" spans="1:9" x14ac:dyDescent="0.25">
      <c r="A31" t="s">
        <v>1257</v>
      </c>
      <c r="B31" t="s">
        <v>1206</v>
      </c>
      <c r="C31" s="33" t="s">
        <v>85</v>
      </c>
      <c r="D31" s="33" t="s">
        <v>85</v>
      </c>
      <c r="I31" s="33"/>
    </row>
    <row r="32" spans="1:9" x14ac:dyDescent="0.25">
      <c r="A32" t="s">
        <v>1258</v>
      </c>
      <c r="B32" t="s">
        <v>1207</v>
      </c>
      <c r="C32" s="33" t="s">
        <v>85</v>
      </c>
      <c r="D32" s="33" t="s">
        <v>85</v>
      </c>
      <c r="I32" s="33"/>
    </row>
    <row r="33" spans="1:9" x14ac:dyDescent="0.25">
      <c r="A33" t="s">
        <v>1232</v>
      </c>
      <c r="B33" t="s">
        <v>1195</v>
      </c>
      <c r="F33" s="33" t="s">
        <v>85</v>
      </c>
      <c r="I33" s="33"/>
    </row>
    <row r="34" spans="1:9" x14ac:dyDescent="0.25">
      <c r="A34" t="s">
        <v>1233</v>
      </c>
      <c r="B34" t="s">
        <v>1196</v>
      </c>
      <c r="D34" s="33" t="s">
        <v>85</v>
      </c>
      <c r="F34" s="33" t="s">
        <v>85</v>
      </c>
      <c r="I34" s="33"/>
    </row>
    <row r="35" spans="1:9" x14ac:dyDescent="0.25">
      <c r="A35" t="s">
        <v>1244</v>
      </c>
      <c r="B35" t="s">
        <v>1197</v>
      </c>
      <c r="F35" s="33" t="s">
        <v>85</v>
      </c>
      <c r="I35" s="33"/>
    </row>
    <row r="36" spans="1:9" x14ac:dyDescent="0.25">
      <c r="A36" t="s">
        <v>1245</v>
      </c>
      <c r="B36" t="s">
        <v>1198</v>
      </c>
      <c r="F36" s="33" t="s">
        <v>85</v>
      </c>
      <c r="I36" s="33"/>
    </row>
    <row r="37" spans="1:9" x14ac:dyDescent="0.25">
      <c r="A37" t="s">
        <v>1246</v>
      </c>
      <c r="B37" t="s">
        <v>1199</v>
      </c>
      <c r="F37" s="33" t="s">
        <v>85</v>
      </c>
      <c r="I37" s="33"/>
    </row>
    <row r="38" spans="1:9" x14ac:dyDescent="0.25">
      <c r="A38" t="s">
        <v>1247</v>
      </c>
      <c r="B38" t="s">
        <v>1220</v>
      </c>
      <c r="F38" s="33" t="s">
        <v>85</v>
      </c>
      <c r="I38" s="33"/>
    </row>
    <row r="39" spans="1:9" x14ac:dyDescent="0.25">
      <c r="A39" t="s">
        <v>1248</v>
      </c>
      <c r="B39" t="s">
        <v>1221</v>
      </c>
      <c r="F39" s="33" t="s">
        <v>85</v>
      </c>
      <c r="I39" s="33"/>
    </row>
    <row r="40" spans="1:9" x14ac:dyDescent="0.25">
      <c r="A40" t="s">
        <v>1249</v>
      </c>
      <c r="B40" t="s">
        <v>1222</v>
      </c>
      <c r="F40" s="33" t="s">
        <v>85</v>
      </c>
      <c r="I40" s="33"/>
    </row>
    <row r="41" spans="1:9" x14ac:dyDescent="0.25">
      <c r="A41" t="s">
        <v>1265</v>
      </c>
      <c r="B41" t="s">
        <v>1272</v>
      </c>
      <c r="I41" s="33"/>
    </row>
    <row r="42" spans="1:9" x14ac:dyDescent="0.25">
      <c r="A42" t="s">
        <v>32</v>
      </c>
      <c r="B42" t="s">
        <v>1273</v>
      </c>
      <c r="I42" s="33"/>
    </row>
    <row r="43" spans="1:9" x14ac:dyDescent="0.25">
      <c r="A43" t="s">
        <v>33</v>
      </c>
      <c r="B43" t="s">
        <v>1274</v>
      </c>
      <c r="I43" s="33"/>
    </row>
    <row r="44" spans="1:9" x14ac:dyDescent="0.25">
      <c r="A44" t="s">
        <v>3</v>
      </c>
      <c r="B44" t="s">
        <v>3</v>
      </c>
      <c r="I44" s="33"/>
    </row>
    <row r="45" spans="1:9" x14ac:dyDescent="0.25">
      <c r="A45" t="s">
        <v>34</v>
      </c>
      <c r="I45" s="33"/>
    </row>
    <row r="46" spans="1:9" x14ac:dyDescent="0.25">
      <c r="A46" t="s">
        <v>107</v>
      </c>
      <c r="I46" s="33"/>
    </row>
    <row r="47" spans="1:9" x14ac:dyDescent="0.25">
      <c r="A47" t="s">
        <v>35</v>
      </c>
      <c r="I47" s="33"/>
    </row>
    <row r="48" spans="1:9" x14ac:dyDescent="0.25">
      <c r="A48" t="s">
        <v>42</v>
      </c>
      <c r="I48" s="33"/>
    </row>
    <row r="49" spans="1:9" x14ac:dyDescent="0.25">
      <c r="A49" t="s">
        <v>41</v>
      </c>
      <c r="I49" s="33"/>
    </row>
    <row r="50" spans="1:9" x14ac:dyDescent="0.25">
      <c r="A50" t="s">
        <v>140</v>
      </c>
      <c r="I50" s="33"/>
    </row>
    <row r="51" spans="1:9" x14ac:dyDescent="0.25">
      <c r="A51" t="s">
        <v>40</v>
      </c>
      <c r="I51" s="33"/>
    </row>
    <row r="52" spans="1:9" x14ac:dyDescent="0.25">
      <c r="A52" t="s">
        <v>39</v>
      </c>
      <c r="I52" s="33"/>
    </row>
    <row r="53" spans="1:9" x14ac:dyDescent="0.25">
      <c r="A53" t="s">
        <v>36</v>
      </c>
      <c r="I53" s="33"/>
    </row>
    <row r="54" spans="1:9" x14ac:dyDescent="0.25">
      <c r="A54" t="s">
        <v>37</v>
      </c>
      <c r="I54" s="33"/>
    </row>
    <row r="55" spans="1:9" x14ac:dyDescent="0.25">
      <c r="A55" t="s">
        <v>38</v>
      </c>
      <c r="I55" s="33"/>
    </row>
    <row r="56" spans="1:9" x14ac:dyDescent="0.25">
      <c r="A56" t="s">
        <v>84</v>
      </c>
      <c r="I56" s="33"/>
    </row>
    <row r="57" spans="1:9" x14ac:dyDescent="0.25">
      <c r="A57" t="s">
        <v>83</v>
      </c>
      <c r="I57" s="33"/>
    </row>
    <row r="58" spans="1:9" x14ac:dyDescent="0.25">
      <c r="A58" t="s">
        <v>387</v>
      </c>
      <c r="I58" s="33"/>
    </row>
    <row r="59" spans="1:9" x14ac:dyDescent="0.25">
      <c r="A59" t="s">
        <v>389</v>
      </c>
      <c r="I59" s="33"/>
    </row>
    <row r="60" spans="1:9" x14ac:dyDescent="0.25">
      <c r="A60" t="s">
        <v>52</v>
      </c>
      <c r="I60" s="33"/>
    </row>
    <row r="61" spans="1:9" x14ac:dyDescent="0.25">
      <c r="A61" t="s">
        <v>80</v>
      </c>
      <c r="I61" s="33"/>
    </row>
    <row r="62" spans="1:9" x14ac:dyDescent="0.25">
      <c r="A62" t="s">
        <v>213</v>
      </c>
      <c r="I62" s="33"/>
    </row>
    <row r="63" spans="1:9" x14ac:dyDescent="0.25">
      <c r="A63" t="s">
        <v>1228</v>
      </c>
      <c r="I63" s="33"/>
    </row>
    <row r="64" spans="1:9" x14ac:dyDescent="0.25">
      <c r="A64" t="s">
        <v>74</v>
      </c>
      <c r="I64" s="33"/>
    </row>
    <row r="65" spans="1:9" x14ac:dyDescent="0.25">
      <c r="A65" t="s">
        <v>76</v>
      </c>
      <c r="I65" s="33"/>
    </row>
    <row r="66" spans="1:9" x14ac:dyDescent="0.25">
      <c r="A66" t="s">
        <v>43</v>
      </c>
      <c r="I66" s="33"/>
    </row>
    <row r="67" spans="1:9" x14ac:dyDescent="0.25">
      <c r="A67" t="s">
        <v>44</v>
      </c>
      <c r="I67" s="33"/>
    </row>
    <row r="68" spans="1:9" x14ac:dyDescent="0.25">
      <c r="A68" t="s">
        <v>45</v>
      </c>
      <c r="I68" s="33"/>
    </row>
    <row r="69" spans="1:9" x14ac:dyDescent="0.25">
      <c r="A69" t="s">
        <v>46</v>
      </c>
      <c r="I69" s="33"/>
    </row>
    <row r="70" spans="1:9" x14ac:dyDescent="0.25">
      <c r="A70" t="s">
        <v>47</v>
      </c>
      <c r="I70" s="33"/>
    </row>
    <row r="71" spans="1:9" x14ac:dyDescent="0.25">
      <c r="A71" t="s">
        <v>48</v>
      </c>
      <c r="I71" s="33"/>
    </row>
    <row r="72" spans="1:9" x14ac:dyDescent="0.25">
      <c r="A72" t="s">
        <v>161</v>
      </c>
      <c r="I72" s="33"/>
    </row>
    <row r="73" spans="1:9" x14ac:dyDescent="0.25">
      <c r="A73" t="s">
        <v>162</v>
      </c>
      <c r="I73" s="33"/>
    </row>
    <row r="74" spans="1:9" x14ac:dyDescent="0.25">
      <c r="A74" t="s">
        <v>132</v>
      </c>
      <c r="I74" s="33"/>
    </row>
    <row r="75" spans="1:9" x14ac:dyDescent="0.25">
      <c r="A75" t="s">
        <v>131</v>
      </c>
      <c r="I75" s="33"/>
    </row>
    <row r="76" spans="1:9" x14ac:dyDescent="0.25">
      <c r="A76" t="s">
        <v>133</v>
      </c>
      <c r="I76" s="33"/>
    </row>
    <row r="77" spans="1:9" x14ac:dyDescent="0.25">
      <c r="A77" t="s">
        <v>130</v>
      </c>
      <c r="I77" s="33"/>
    </row>
    <row r="78" spans="1:9" x14ac:dyDescent="0.25">
      <c r="A78" t="s">
        <v>129</v>
      </c>
      <c r="I78" s="33"/>
    </row>
    <row r="79" spans="1:9" x14ac:dyDescent="0.25">
      <c r="A79" t="s">
        <v>128</v>
      </c>
      <c r="I79" s="33"/>
    </row>
    <row r="80" spans="1:9" x14ac:dyDescent="0.25">
      <c r="A80" t="s">
        <v>135</v>
      </c>
      <c r="I80" s="33"/>
    </row>
    <row r="81" spans="1:9" x14ac:dyDescent="0.25">
      <c r="A81" t="s">
        <v>1150</v>
      </c>
      <c r="I81" s="33"/>
    </row>
    <row r="82" spans="1:9" x14ac:dyDescent="0.25">
      <c r="A82" t="s">
        <v>253</v>
      </c>
      <c r="I82" s="33"/>
    </row>
    <row r="83" spans="1:9" x14ac:dyDescent="0.25">
      <c r="A83" t="s">
        <v>256</v>
      </c>
      <c r="I83" s="33"/>
    </row>
    <row r="84" spans="1:9" x14ac:dyDescent="0.25">
      <c r="A84" t="s">
        <v>203</v>
      </c>
      <c r="I84" s="33"/>
    </row>
    <row r="85" spans="1:9" x14ac:dyDescent="0.25">
      <c r="A85" t="s">
        <v>258</v>
      </c>
      <c r="I85" s="33"/>
    </row>
    <row r="86" spans="1:9" x14ac:dyDescent="0.25">
      <c r="A86" t="s">
        <v>254</v>
      </c>
      <c r="I86" s="33"/>
    </row>
    <row r="87" spans="1:9" x14ac:dyDescent="0.25">
      <c r="A87" t="s">
        <v>205</v>
      </c>
      <c r="I87" s="33"/>
    </row>
    <row r="88" spans="1:9" x14ac:dyDescent="0.25">
      <c r="A88" t="s">
        <v>208</v>
      </c>
      <c r="I88" s="33"/>
    </row>
    <row r="89" spans="1:9" x14ac:dyDescent="0.25">
      <c r="A89" t="s">
        <v>209</v>
      </c>
      <c r="I89" s="33"/>
    </row>
    <row r="90" spans="1:9" x14ac:dyDescent="0.25">
      <c r="A90" t="s">
        <v>211</v>
      </c>
      <c r="I90" s="33"/>
    </row>
    <row r="91" spans="1:9" x14ac:dyDescent="0.25">
      <c r="A91" t="s">
        <v>1151</v>
      </c>
      <c r="I91" s="33"/>
    </row>
    <row r="92" spans="1:9" x14ac:dyDescent="0.25">
      <c r="A92" t="s">
        <v>1223</v>
      </c>
      <c r="I92" s="33"/>
    </row>
    <row r="93" spans="1:9" x14ac:dyDescent="0.25">
      <c r="A93" t="s">
        <v>1224</v>
      </c>
      <c r="I93" s="33"/>
    </row>
  </sheetData>
  <autoFilter ref="A1:H39" xr:uid="{F141679E-852A-4834-84BB-BC1A666E0D1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AllEventData</vt:lpstr>
      <vt:lpstr>Sheet3</vt:lpstr>
      <vt:lpstr>Sheet2</vt:lpstr>
      <vt:lpstr>Calculator</vt:lpstr>
      <vt:lpstr>Time Zones</vt:lpstr>
      <vt:lpstr>Countries</vt:lpstr>
      <vt:lpstr>Cameras</vt:lpstr>
      <vt:lpstr>DataQuality</vt:lpstr>
      <vt:lpstr>Database</vt:lpstr>
      <vt:lpstr>Sources</vt:lpstr>
      <vt:lpstr>Log</vt:lpstr>
      <vt:lpstr>EventID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Goodall</dc:creator>
  <cp:lastModifiedBy>Jim Goodall</cp:lastModifiedBy>
  <dcterms:created xsi:type="dcterms:W3CDTF">2019-06-03T13:01:09Z</dcterms:created>
  <dcterms:modified xsi:type="dcterms:W3CDTF">2024-01-14T05:37:24Z</dcterms:modified>
</cp:coreProperties>
</file>