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Thom File\2016 Voting tables\renamed tables\renamed tables\"/>
    </mc:Choice>
  </mc:AlternateContent>
  <bookViews>
    <workbookView xWindow="0" yWindow="1515" windowWidth="14175" windowHeight="7350" tabRatio="774"/>
  </bookViews>
  <sheets>
    <sheet name="A3_Vote" sheetId="13" r:id="rId1"/>
  </sheets>
  <calcPr calcId="162913"/>
</workbook>
</file>

<file path=xl/calcChain.xml><?xml version="1.0" encoding="utf-8"?>
<calcChain xmlns="http://schemas.openxmlformats.org/spreadsheetml/2006/main">
  <c r="O58" i="13" l="1"/>
  <c r="M58" i="13"/>
  <c r="K58" i="13"/>
  <c r="H58" i="13"/>
  <c r="O57" i="13"/>
  <c r="M57" i="13"/>
  <c r="K57" i="13"/>
  <c r="H57" i="13"/>
  <c r="O56" i="13"/>
  <c r="M56" i="13"/>
  <c r="K56" i="13"/>
  <c r="H56" i="13"/>
  <c r="O55" i="13"/>
  <c r="M55" i="13"/>
  <c r="K55" i="13"/>
  <c r="H55" i="13"/>
  <c r="O54" i="13"/>
  <c r="M54" i="13"/>
  <c r="K54" i="13"/>
  <c r="H54" i="13"/>
  <c r="O53" i="13"/>
  <c r="M53" i="13"/>
  <c r="K53" i="13"/>
  <c r="H53" i="13"/>
  <c r="O52" i="13"/>
  <c r="M52" i="13"/>
  <c r="K52" i="13"/>
  <c r="H52" i="13"/>
  <c r="O51" i="13"/>
  <c r="M51" i="13"/>
  <c r="K51" i="13"/>
  <c r="H51" i="13"/>
  <c r="O50" i="13"/>
  <c r="M50" i="13"/>
  <c r="K50" i="13"/>
  <c r="H50" i="13"/>
  <c r="O49" i="13"/>
  <c r="M49" i="13"/>
  <c r="K49" i="13"/>
  <c r="H49" i="13"/>
  <c r="O48" i="13"/>
  <c r="M48" i="13"/>
  <c r="K48" i="13"/>
  <c r="H48" i="13"/>
  <c r="O47" i="13"/>
  <c r="M47" i="13"/>
  <c r="K47" i="13"/>
  <c r="H47" i="13"/>
  <c r="O46" i="13"/>
  <c r="M46" i="13"/>
  <c r="K46" i="13"/>
  <c r="H46" i="13"/>
  <c r="O45" i="13"/>
  <c r="M45" i="13"/>
  <c r="K45" i="13"/>
  <c r="H45" i="13"/>
  <c r="O44" i="13"/>
  <c r="M44" i="13"/>
  <c r="K44" i="13"/>
  <c r="H44" i="13"/>
  <c r="O43" i="13"/>
  <c r="M43" i="13"/>
  <c r="K43" i="13"/>
  <c r="H43" i="13"/>
  <c r="O42" i="13"/>
  <c r="M42" i="13"/>
  <c r="K42" i="13"/>
  <c r="H42" i="13"/>
  <c r="O41" i="13"/>
  <c r="M41" i="13"/>
  <c r="K41" i="13"/>
  <c r="H41" i="13"/>
  <c r="O40" i="13"/>
  <c r="M40" i="13"/>
  <c r="K40" i="13"/>
  <c r="H40" i="13"/>
  <c r="O39" i="13"/>
  <c r="M39" i="13"/>
  <c r="K39" i="13"/>
  <c r="H39" i="13"/>
  <c r="O38" i="13"/>
  <c r="M38" i="13"/>
  <c r="K38" i="13"/>
  <c r="H38" i="13"/>
  <c r="O37" i="13"/>
  <c r="M37" i="13"/>
  <c r="K37" i="13"/>
  <c r="H37" i="13"/>
  <c r="O36" i="13"/>
  <c r="M36" i="13"/>
  <c r="K36" i="13"/>
  <c r="H36" i="13"/>
  <c r="O35" i="13"/>
  <c r="M35" i="13"/>
  <c r="K35" i="13"/>
  <c r="H35" i="13"/>
  <c r="O34" i="13"/>
  <c r="M34" i="13"/>
  <c r="K34" i="13"/>
  <c r="H34" i="13"/>
  <c r="O33" i="13"/>
  <c r="M33" i="13"/>
  <c r="K33" i="13"/>
  <c r="H33" i="13"/>
  <c r="O32" i="13"/>
  <c r="M32" i="13"/>
  <c r="K32" i="13"/>
  <c r="H32" i="13"/>
  <c r="O31" i="13"/>
  <c r="M31" i="13"/>
  <c r="K31" i="13"/>
  <c r="H31" i="13"/>
  <c r="O30" i="13"/>
  <c r="M30" i="13"/>
  <c r="K30" i="13"/>
  <c r="H30" i="13"/>
  <c r="O29" i="13"/>
  <c r="M29" i="13"/>
  <c r="K29" i="13"/>
  <c r="H29" i="13"/>
  <c r="O28" i="13"/>
  <c r="M28" i="13"/>
  <c r="K28" i="13"/>
  <c r="H28" i="13"/>
  <c r="O27" i="13"/>
  <c r="M27" i="13"/>
  <c r="K27" i="13"/>
  <c r="H27" i="13"/>
  <c r="O26" i="13"/>
  <c r="M26" i="13"/>
  <c r="K26" i="13"/>
  <c r="H26" i="13"/>
  <c r="O25" i="13"/>
  <c r="M25" i="13"/>
  <c r="K25" i="13"/>
  <c r="H25" i="13"/>
  <c r="O24" i="13"/>
  <c r="M24" i="13"/>
  <c r="K24" i="13"/>
  <c r="H24" i="13"/>
  <c r="O23" i="13"/>
  <c r="M23" i="13"/>
  <c r="K23" i="13"/>
  <c r="H23" i="13"/>
  <c r="O22" i="13"/>
  <c r="M22" i="13"/>
  <c r="K22" i="13"/>
  <c r="H22" i="13"/>
  <c r="O21" i="13"/>
  <c r="M21" i="13"/>
  <c r="K21" i="13"/>
  <c r="H21" i="13"/>
  <c r="O20" i="13"/>
  <c r="M20" i="13"/>
  <c r="K20" i="13"/>
  <c r="H20" i="13"/>
  <c r="O19" i="13"/>
  <c r="M19" i="13"/>
  <c r="K19" i="13"/>
  <c r="H19" i="13"/>
  <c r="O18" i="13"/>
  <c r="M18" i="13"/>
  <c r="K18" i="13"/>
  <c r="H18" i="13"/>
  <c r="O17" i="13"/>
  <c r="M17" i="13"/>
  <c r="K17" i="13"/>
  <c r="H17" i="13"/>
  <c r="O16" i="13"/>
  <c r="M16" i="13"/>
  <c r="K16" i="13"/>
  <c r="H16" i="13"/>
  <c r="O15" i="13"/>
  <c r="M15" i="13"/>
  <c r="K15" i="13"/>
  <c r="H15" i="13"/>
  <c r="O14" i="13"/>
  <c r="M14" i="13"/>
  <c r="K14" i="13"/>
  <c r="H14" i="13"/>
  <c r="O13" i="13"/>
  <c r="M13" i="13"/>
  <c r="K13" i="13"/>
  <c r="H13" i="13"/>
  <c r="O12" i="13"/>
  <c r="M12" i="13"/>
  <c r="K12" i="13"/>
  <c r="H12" i="13"/>
  <c r="O11" i="13"/>
  <c r="M11" i="13"/>
  <c r="K11" i="13"/>
  <c r="H11" i="13"/>
  <c r="O10" i="13"/>
  <c r="M10" i="13"/>
  <c r="K10" i="13"/>
  <c r="H10" i="13"/>
  <c r="O9" i="13"/>
  <c r="M9" i="13"/>
  <c r="K9" i="13"/>
  <c r="H9" i="13"/>
  <c r="O8" i="13"/>
  <c r="M8" i="13"/>
  <c r="K8" i="13"/>
  <c r="H8" i="13"/>
</calcChain>
</file>

<file path=xl/sharedStrings.xml><?xml version="1.0" encoding="utf-8"?>
<sst xmlns="http://schemas.openxmlformats.org/spreadsheetml/2006/main" count="115" uniqueCount="62">
  <si>
    <t>Table with row headers in column A and column headers in rows 5 through 6.</t>
  </si>
  <si>
    <t>Table A-3.  Reported Voting and Registration for Total and Citizen Voting-Age Populations, by State for Congressional Elections:  1974 to 2014</t>
  </si>
  <si>
    <t>(Percent, Population 18 Years and Over)</t>
  </si>
  <si>
    <t>State</t>
  </si>
  <si>
    <t>Total</t>
  </si>
  <si>
    <t>Citizen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</si>
  <si>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</si>
  <si>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</si>
  <si>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</si>
  <si>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</si>
  <si>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</si>
  <si>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</si>
  <si>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</si>
  <si>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</si>
  <si>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</si>
  <si>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</si>
  <si>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</si>
  <si>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</si>
  <si>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</si>
  <si>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</si>
  <si>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</si>
  <si>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</si>
  <si>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</si>
  <si>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</si>
  <si>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</si>
  <si>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</si>
  <si>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</si>
  <si>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</si>
  <si>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</si>
  <si>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</si>
  <si>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</si>
  <si>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</si>
  <si>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</si>
  <si>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</si>
  <si>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</si>
  <si>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</si>
  <si>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</si>
  <si>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</si>
  <si>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</si>
  <si>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</si>
  <si>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</si>
  <si>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</si>
  <si>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</si>
  <si>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</si>
  <si>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</si>
  <si>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</si>
  <si>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</si>
  <si>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</si>
  <si>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</si>
  <si>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</si>
  <si>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</si>
  <si>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</si>
  <si>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</si>
  <si>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</si>
  <si>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</si>
  <si>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</si>
  <si>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</si>
  <si>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</si>
  <si>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</si>
  <si>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</si>
  <si>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N/A Not available.</t>
  </si>
  <si>
    <t>Source: U.S. Census Bureau, Current Population Survey, 1974-2014.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</si>
</sst>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0.0"/>
    <numFmt numFmtId="166" formatCode="##0.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top"/>
    </xf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4">
    <xf numFmtId="0" fontId="0" fillId="0" borderId="0" xfId="0" applyAlignment="1"/>
    <xf numFmtId="0" fontId="5" fillId="0" borderId="0" xfId="0" applyFont="1" applyAlignment="1" applyProtection="1">
      <protection locked="0"/>
    </xf>
    <xf numFmtId="164" fontId="6" fillId="0" borderId="0" xfId="0" applyNumberFormat="1" applyFont="1" applyAlignment="1"/>
    <xf numFmtId="0" fontId="6" fillId="0" borderId="0" xfId="0" applyFont="1" applyAlignment="1"/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1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/>
    <xf numFmtId="0" fontId="6" fillId="0" borderId="3" xfId="0" applyFont="1" applyBorder="1" applyAlignment="1"/>
    <xf numFmtId="164" fontId="6" fillId="0" borderId="8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0" xfId="0" applyFont="1" applyBorder="1" applyAlignment="1"/>
    <xf numFmtId="0" fontId="6" fillId="0" borderId="2" xfId="0" applyFont="1" applyBorder="1" applyAlignment="1"/>
    <xf numFmtId="164" fontId="6" fillId="0" borderId="2" xfId="0" applyNumberFormat="1" applyFont="1" applyFill="1" applyBorder="1" applyAlignment="1"/>
    <xf numFmtId="164" fontId="6" fillId="0" borderId="10" xfId="0" applyNumberFormat="1" applyFont="1" applyFill="1" applyBorder="1" applyAlignment="1"/>
    <xf numFmtId="166" fontId="4" fillId="0" borderId="10" xfId="8" applyNumberFormat="1" applyFont="1" applyFill="1" applyBorder="1" applyAlignment="1" applyProtection="1">
      <alignment horizontal="right" wrapText="1"/>
    </xf>
    <xf numFmtId="166" fontId="4" fillId="0" borderId="10" xfId="9" applyNumberFormat="1" applyFont="1" applyFill="1" applyBorder="1" applyAlignment="1" applyProtection="1">
      <alignment horizontal="right" wrapText="1"/>
    </xf>
    <xf numFmtId="164" fontId="6" fillId="0" borderId="10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6" fillId="0" borderId="10" xfId="0" applyNumberFormat="1" applyFont="1" applyBorder="1" applyAlignment="1"/>
    <xf numFmtId="164" fontId="6" fillId="0" borderId="0" xfId="0" applyNumberFormat="1" applyFont="1" applyBorder="1" applyAlignment="1"/>
    <xf numFmtId="164" fontId="6" fillId="0" borderId="3" xfId="0" applyNumberFormat="1" applyFont="1" applyBorder="1" applyAlignment="1"/>
    <xf numFmtId="0" fontId="6" fillId="0" borderId="4" xfId="0" applyFont="1" applyBorder="1" applyAlignment="1"/>
    <xf numFmtId="164" fontId="6" fillId="0" borderId="4" xfId="0" applyNumberFormat="1" applyFont="1" applyFill="1" applyBorder="1" applyAlignment="1"/>
    <xf numFmtId="164" fontId="6" fillId="0" borderId="9" xfId="0" applyNumberFormat="1" applyFont="1" applyFill="1" applyBorder="1" applyAlignment="1"/>
    <xf numFmtId="166" fontId="4" fillId="0" borderId="9" xfId="8" applyNumberFormat="1" applyFont="1" applyFill="1" applyBorder="1" applyAlignment="1" applyProtection="1">
      <alignment horizontal="right" wrapText="1"/>
    </xf>
    <xf numFmtId="166" fontId="4" fillId="0" borderId="9" xfId="9" applyNumberFormat="1" applyFont="1" applyFill="1" applyBorder="1" applyAlignment="1" applyProtection="1">
      <alignment horizontal="right" wrapText="1"/>
    </xf>
    <xf numFmtId="164" fontId="6" fillId="0" borderId="9" xfId="0" applyNumberFormat="1" applyFont="1" applyBorder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9" xfId="0" applyNumberFormat="1" applyFont="1" applyBorder="1" applyAlignment="1"/>
    <xf numFmtId="164" fontId="6" fillId="0" borderId="5" xfId="0" applyNumberFormat="1" applyFont="1" applyBorder="1" applyAlignment="1"/>
    <xf numFmtId="0" fontId="6" fillId="0" borderId="8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</cellXfs>
  <cellStyles count="20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10" xfId="18"/>
    <cellStyle name="Normal 11" xfId="14"/>
    <cellStyle name="Normal 12" xfId="19"/>
    <cellStyle name="Normal 13" xfId="15"/>
    <cellStyle name="Normal 2" xfId="8"/>
    <cellStyle name="Normal 3" xfId="9"/>
    <cellStyle name="Normal 4" xfId="10"/>
    <cellStyle name="Normal 5" xfId="11"/>
    <cellStyle name="Normal 6" xfId="16"/>
    <cellStyle name="Normal 7" xfId="12"/>
    <cellStyle name="Normal 8" xfId="17"/>
    <cellStyle name="Normal 9" xfId="13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="70" zoomScaleNormal="70" workbookViewId="0">
      <selection activeCell="N69" sqref="N69"/>
    </sheetView>
  </sheetViews>
  <sheetFormatPr defaultRowHeight="15" x14ac:dyDescent="0.25"/>
  <cols>
    <col min="1" max="1" width="20.85546875" style="3" customWidth="1"/>
    <col min="2" max="2" width="9.140625" style="2"/>
    <col min="3" max="3" width="9.140625" style="3"/>
    <col min="4" max="4" width="9.140625" style="2"/>
    <col min="5" max="16384" width="9.140625" style="3"/>
  </cols>
  <sheetData>
    <row r="1" spans="1:21" ht="1.5" customHeight="1" x14ac:dyDescent="0.25">
      <c r="A1" s="1" t="s">
        <v>0</v>
      </c>
    </row>
    <row r="2" spans="1:21" x14ac:dyDescent="0.25">
      <c r="A2" s="3" t="s">
        <v>1</v>
      </c>
    </row>
    <row r="3" spans="1:21" x14ac:dyDescent="0.25">
      <c r="A3" s="3" t="s">
        <v>2</v>
      </c>
    </row>
    <row r="4" spans="1:21" x14ac:dyDescent="0.25">
      <c r="A4" s="38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9"/>
      <c r="B5" s="41">
        <v>2014</v>
      </c>
      <c r="C5" s="42"/>
      <c r="D5" s="41">
        <v>2010</v>
      </c>
      <c r="E5" s="42"/>
      <c r="F5" s="41">
        <v>2006</v>
      </c>
      <c r="G5" s="42"/>
      <c r="H5" s="43">
        <v>2002</v>
      </c>
      <c r="I5" s="43"/>
      <c r="J5" s="35">
        <v>1998</v>
      </c>
      <c r="K5" s="35"/>
      <c r="L5" s="35">
        <v>1994</v>
      </c>
      <c r="M5" s="35"/>
      <c r="N5" s="35">
        <v>1990</v>
      </c>
      <c r="O5" s="35"/>
      <c r="P5" s="35">
        <v>1986</v>
      </c>
      <c r="Q5" s="35"/>
      <c r="R5" s="35">
        <v>1982</v>
      </c>
      <c r="S5" s="35"/>
      <c r="T5" s="4">
        <v>1978</v>
      </c>
      <c r="U5" s="4">
        <v>1974</v>
      </c>
    </row>
    <row r="6" spans="1:21" x14ac:dyDescent="0.25">
      <c r="A6" s="40"/>
      <c r="B6" s="5" t="s">
        <v>4</v>
      </c>
      <c r="C6" s="5" t="s">
        <v>5</v>
      </c>
      <c r="D6" s="5" t="s">
        <v>4</v>
      </c>
      <c r="E6" s="5" t="s">
        <v>5</v>
      </c>
      <c r="F6" s="5" t="s">
        <v>4</v>
      </c>
      <c r="G6" s="5" t="s">
        <v>5</v>
      </c>
      <c r="H6" s="6" t="s">
        <v>4</v>
      </c>
      <c r="I6" s="5" t="s">
        <v>5</v>
      </c>
      <c r="J6" s="7" t="s">
        <v>4</v>
      </c>
      <c r="K6" s="5" t="s">
        <v>5</v>
      </c>
      <c r="L6" s="7" t="s">
        <v>4</v>
      </c>
      <c r="M6" s="5" t="s">
        <v>5</v>
      </c>
      <c r="N6" s="7" t="s">
        <v>4</v>
      </c>
      <c r="O6" s="5" t="s">
        <v>5</v>
      </c>
      <c r="P6" s="7" t="s">
        <v>4</v>
      </c>
      <c r="Q6" s="5" t="s">
        <v>5</v>
      </c>
      <c r="R6" s="7" t="s">
        <v>4</v>
      </c>
      <c r="S6" s="5" t="s">
        <v>5</v>
      </c>
      <c r="T6" s="7" t="s">
        <v>4</v>
      </c>
      <c r="U6" s="5" t="s">
        <v>4</v>
      </c>
    </row>
    <row r="7" spans="1:21" x14ac:dyDescent="0.25">
      <c r="A7" s="8"/>
      <c r="B7" s="9"/>
      <c r="C7" s="10"/>
      <c r="D7" s="9"/>
      <c r="E7" s="10"/>
      <c r="F7" s="9"/>
      <c r="G7" s="11"/>
      <c r="H7" s="12"/>
      <c r="I7" s="13"/>
      <c r="J7" s="14"/>
      <c r="K7" s="13"/>
      <c r="L7" s="14"/>
      <c r="M7" s="13"/>
      <c r="N7" s="14"/>
      <c r="O7" s="13"/>
      <c r="P7" s="14"/>
      <c r="Q7" s="13"/>
      <c r="R7" s="14"/>
      <c r="S7" s="11"/>
      <c r="T7" s="9"/>
      <c r="U7" s="15"/>
    </row>
    <row r="8" spans="1:21" x14ac:dyDescent="0.25">
      <c r="A8" s="16" t="s">
        <v>6</v>
      </c>
      <c r="B8" s="17">
        <v>40.9</v>
      </c>
      <c r="C8" s="18">
        <v>42.5</v>
      </c>
      <c r="D8" s="19">
        <v>42.8</v>
      </c>
      <c r="E8" s="20">
        <v>44.1</v>
      </c>
      <c r="F8" s="21">
        <v>48.4</v>
      </c>
      <c r="G8" s="22">
        <v>49.7</v>
      </c>
      <c r="H8" s="23">
        <f>1585/3252*100</f>
        <v>48.739237392373923</v>
      </c>
      <c r="I8" s="24">
        <v>49.3</v>
      </c>
      <c r="J8" s="23">
        <v>51.2</v>
      </c>
      <c r="K8" s="25">
        <f>1665/3212*100</f>
        <v>51.836861768368614</v>
      </c>
      <c r="L8" s="23">
        <v>45.8</v>
      </c>
      <c r="M8" s="25">
        <f>1435/3092*100</f>
        <v>46.410090556274255</v>
      </c>
      <c r="N8" s="23">
        <v>51</v>
      </c>
      <c r="O8" s="25">
        <f>1523/2923*100</f>
        <v>52.104002736914133</v>
      </c>
      <c r="P8" s="23">
        <v>53.1</v>
      </c>
      <c r="Q8" s="25">
        <v>54.218922087611467</v>
      </c>
      <c r="R8" s="23">
        <v>49.3</v>
      </c>
      <c r="S8" s="25">
        <v>49.951905290418061</v>
      </c>
      <c r="T8" s="23">
        <v>46.763555941708461</v>
      </c>
      <c r="U8" s="21" t="s">
        <v>7</v>
      </c>
    </row>
    <row r="9" spans="1:21" x14ac:dyDescent="0.25">
      <c r="A9" s="16" t="s">
        <v>8</v>
      </c>
      <c r="B9" s="17">
        <v>49</v>
      </c>
      <c r="C9" s="18">
        <v>50.7</v>
      </c>
      <c r="D9" s="19">
        <v>48.6</v>
      </c>
      <c r="E9" s="20">
        <v>50.7</v>
      </c>
      <c r="F9" s="21">
        <v>52.9</v>
      </c>
      <c r="G9" s="22">
        <v>54.9</v>
      </c>
      <c r="H9" s="23">
        <f>230/437*100</f>
        <v>52.631578947368418</v>
      </c>
      <c r="I9" s="24">
        <v>55</v>
      </c>
      <c r="J9" s="23">
        <v>53.8</v>
      </c>
      <c r="K9" s="25">
        <f>222/402*100</f>
        <v>55.223880597014926</v>
      </c>
      <c r="L9" s="23">
        <v>59.4</v>
      </c>
      <c r="M9" s="25">
        <f>233/385*100</f>
        <v>60.519480519480517</v>
      </c>
      <c r="N9" s="23">
        <v>59.2</v>
      </c>
      <c r="O9" s="25">
        <f>200/316*100</f>
        <v>63.291139240506332</v>
      </c>
      <c r="P9" s="23">
        <v>56.2</v>
      </c>
      <c r="Q9" s="25">
        <v>58.11872478539145</v>
      </c>
      <c r="R9" s="23">
        <v>58.5</v>
      </c>
      <c r="S9" s="25">
        <v>62.057540003232589</v>
      </c>
      <c r="T9" s="21">
        <v>50.855457227138601</v>
      </c>
      <c r="U9" s="21" t="s">
        <v>7</v>
      </c>
    </row>
    <row r="10" spans="1:21" x14ac:dyDescent="0.25">
      <c r="A10" s="16" t="s">
        <v>9</v>
      </c>
      <c r="B10" s="17">
        <v>35.700000000000003</v>
      </c>
      <c r="C10" s="18">
        <v>40.6</v>
      </c>
      <c r="D10" s="19">
        <v>44.9</v>
      </c>
      <c r="E10" s="20">
        <v>48.8</v>
      </c>
      <c r="F10" s="21">
        <v>40.200000000000003</v>
      </c>
      <c r="G10" s="22">
        <v>46.4</v>
      </c>
      <c r="H10" s="23">
        <f>1397/3800*100</f>
        <v>36.763157894736842</v>
      </c>
      <c r="I10" s="24">
        <v>42.4</v>
      </c>
      <c r="J10" s="23">
        <v>33.799999999999997</v>
      </c>
      <c r="K10" s="25">
        <f>1135/2971*100</f>
        <v>38.202625378660379</v>
      </c>
      <c r="L10" s="23">
        <v>41.9</v>
      </c>
      <c r="M10" s="25">
        <f>1245/2726*100</f>
        <v>45.671313279530445</v>
      </c>
      <c r="N10" s="23">
        <v>46.2</v>
      </c>
      <c r="O10" s="25">
        <f>1196/2375*100</f>
        <v>50.357894736842098</v>
      </c>
      <c r="P10" s="23">
        <v>46.2</v>
      </c>
      <c r="Q10" s="25">
        <v>49.076248283195255</v>
      </c>
      <c r="R10" s="23">
        <v>43.1</v>
      </c>
      <c r="S10" s="25">
        <v>45.568745383560199</v>
      </c>
      <c r="T10" s="21">
        <v>36.919754631947924</v>
      </c>
      <c r="U10" s="21" t="s">
        <v>7</v>
      </c>
    </row>
    <row r="11" spans="1:21" x14ac:dyDescent="0.25">
      <c r="A11" s="16" t="s">
        <v>10</v>
      </c>
      <c r="B11" s="17">
        <v>36.5</v>
      </c>
      <c r="C11" s="18">
        <v>38.799999999999997</v>
      </c>
      <c r="D11" s="19">
        <v>39.299999999999997</v>
      </c>
      <c r="E11" s="20">
        <v>40.700000000000003</v>
      </c>
      <c r="F11" s="21">
        <v>43.9</v>
      </c>
      <c r="G11" s="22">
        <v>45.4</v>
      </c>
      <c r="H11" s="23">
        <f>888/1960*100</f>
        <v>45.306122448979593</v>
      </c>
      <c r="I11" s="24">
        <v>46.2</v>
      </c>
      <c r="J11" s="23">
        <v>42.4</v>
      </c>
      <c r="K11" s="25">
        <f>786/1835*100</f>
        <v>42.833787465940055</v>
      </c>
      <c r="L11" s="23">
        <v>41.7</v>
      </c>
      <c r="M11" s="25">
        <f>750/1780*100</f>
        <v>42.134831460674157</v>
      </c>
      <c r="N11" s="23">
        <v>46.4</v>
      </c>
      <c r="O11" s="25">
        <f>815/1680*100</f>
        <v>48.511904761904759</v>
      </c>
      <c r="P11" s="23">
        <v>47.1</v>
      </c>
      <c r="Q11" s="25">
        <v>47.947272727272725</v>
      </c>
      <c r="R11" s="23">
        <v>53.1</v>
      </c>
      <c r="S11" s="25">
        <v>54.19501420006312</v>
      </c>
      <c r="T11" s="21">
        <v>41.337919978625344</v>
      </c>
      <c r="U11" s="21" t="s">
        <v>7</v>
      </c>
    </row>
    <row r="12" spans="1:21" x14ac:dyDescent="0.25">
      <c r="A12" s="16" t="s">
        <v>11</v>
      </c>
      <c r="B12" s="17">
        <v>30.8</v>
      </c>
      <c r="C12" s="18">
        <v>36.6</v>
      </c>
      <c r="D12" s="19">
        <v>39.200000000000003</v>
      </c>
      <c r="E12" s="20">
        <v>47.1</v>
      </c>
      <c r="F12" s="21">
        <v>38.4</v>
      </c>
      <c r="G12" s="22">
        <v>47.5</v>
      </c>
      <c r="H12" s="23">
        <f>8355/24405*100</f>
        <v>34.234787953288262</v>
      </c>
      <c r="I12" s="24">
        <v>42.5</v>
      </c>
      <c r="J12" s="23">
        <v>40.5</v>
      </c>
      <c r="K12" s="25">
        <f>9593/19016*100</f>
        <v>50.446992006731172</v>
      </c>
      <c r="L12" s="23">
        <v>46</v>
      </c>
      <c r="M12" s="25">
        <f>10417/18113*100</f>
        <v>57.511179815602055</v>
      </c>
      <c r="N12" s="23">
        <v>42.4</v>
      </c>
      <c r="O12" s="25">
        <f>9018/16613*100</f>
        <v>54.282790585685916</v>
      </c>
      <c r="P12" s="23">
        <v>45.3</v>
      </c>
      <c r="Q12" s="25">
        <v>55.07560483870968</v>
      </c>
      <c r="R12" s="23">
        <v>48.6</v>
      </c>
      <c r="S12" s="25">
        <v>58.604508615405571</v>
      </c>
      <c r="T12" s="23">
        <v>47.946130110568269</v>
      </c>
      <c r="U12" s="23">
        <v>47.5</v>
      </c>
    </row>
    <row r="13" spans="1:21" x14ac:dyDescent="0.25">
      <c r="A13" s="16" t="s">
        <v>12</v>
      </c>
      <c r="B13" s="17">
        <v>55.2</v>
      </c>
      <c r="C13" s="18">
        <v>59.3</v>
      </c>
      <c r="D13" s="19">
        <v>48.4</v>
      </c>
      <c r="E13" s="20">
        <v>52.6</v>
      </c>
      <c r="F13" s="21">
        <v>49.9</v>
      </c>
      <c r="G13" s="22">
        <v>54.3</v>
      </c>
      <c r="H13" s="23">
        <f>1483/3246*100</f>
        <v>45.686999383857057</v>
      </c>
      <c r="I13" s="24">
        <v>50.1</v>
      </c>
      <c r="J13" s="23">
        <v>52.1</v>
      </c>
      <c r="K13" s="25">
        <f>1540/2769*100</f>
        <v>55.615745756590826</v>
      </c>
      <c r="L13" s="23">
        <v>46.5</v>
      </c>
      <c r="M13" s="25">
        <f>1256/2620*100</f>
        <v>47.938931297709928</v>
      </c>
      <c r="N13" s="23">
        <v>50.6</v>
      </c>
      <c r="O13" s="25">
        <f>1202/2255*100</f>
        <v>53.303769401330378</v>
      </c>
      <c r="P13" s="23">
        <v>52.7</v>
      </c>
      <c r="Q13" s="25">
        <v>54.434805700628488</v>
      </c>
      <c r="R13" s="23">
        <v>52</v>
      </c>
      <c r="S13" s="25">
        <v>53.78740871557445</v>
      </c>
      <c r="T13" s="21">
        <v>48.234908852745335</v>
      </c>
      <c r="U13" s="21" t="s">
        <v>7</v>
      </c>
    </row>
    <row r="14" spans="1:21" x14ac:dyDescent="0.25">
      <c r="A14" s="16" t="s">
        <v>13</v>
      </c>
      <c r="B14" s="17">
        <v>43</v>
      </c>
      <c r="C14" s="18">
        <v>46.7</v>
      </c>
      <c r="D14" s="19">
        <v>45.9</v>
      </c>
      <c r="E14" s="20">
        <v>49.3</v>
      </c>
      <c r="F14" s="21">
        <v>46.2</v>
      </c>
      <c r="G14" s="22">
        <v>49.7</v>
      </c>
      <c r="H14" s="23">
        <f>1134/2574*100</f>
        <v>44.05594405594406</v>
      </c>
      <c r="I14" s="24">
        <v>47.6</v>
      </c>
      <c r="J14" s="23">
        <v>45.4</v>
      </c>
      <c r="K14" s="25">
        <f>1106/2347*100</f>
        <v>47.12398806987644</v>
      </c>
      <c r="L14" s="23">
        <v>51.9</v>
      </c>
      <c r="M14" s="25">
        <f>1263/2278*100</f>
        <v>55.443371378402105</v>
      </c>
      <c r="N14" s="23">
        <v>49.4</v>
      </c>
      <c r="O14" s="25">
        <f>1216/2229*100</f>
        <v>54.553611484970844</v>
      </c>
      <c r="P14" s="23">
        <v>46.7</v>
      </c>
      <c r="Q14" s="25">
        <v>50.200423366211766</v>
      </c>
      <c r="R14" s="23">
        <v>53.7</v>
      </c>
      <c r="S14" s="25">
        <v>56.384549970908104</v>
      </c>
      <c r="T14" s="23">
        <v>54.018699991009619</v>
      </c>
      <c r="U14" s="21" t="s">
        <v>7</v>
      </c>
    </row>
    <row r="15" spans="1:21" x14ac:dyDescent="0.25">
      <c r="A15" s="16" t="s">
        <v>14</v>
      </c>
      <c r="B15" s="17">
        <v>42</v>
      </c>
      <c r="C15" s="18">
        <v>45.2</v>
      </c>
      <c r="D15" s="19">
        <v>48.5</v>
      </c>
      <c r="E15" s="20">
        <v>51</v>
      </c>
      <c r="F15" s="21">
        <v>42.6</v>
      </c>
      <c r="G15" s="22">
        <v>45.6</v>
      </c>
      <c r="H15" s="23">
        <f>253/590*100</f>
        <v>42.881355932203391</v>
      </c>
      <c r="I15" s="24">
        <v>45.3</v>
      </c>
      <c r="J15" s="23">
        <v>36.5</v>
      </c>
      <c r="K15" s="25">
        <f>203/538*100</f>
        <v>37.732342007434944</v>
      </c>
      <c r="L15" s="23">
        <v>41.4</v>
      </c>
      <c r="M15" s="25">
        <f>218/515*100</f>
        <v>42.33009708737864</v>
      </c>
      <c r="N15" s="23">
        <v>38.4</v>
      </c>
      <c r="O15" s="25">
        <f>195/470*100</f>
        <v>41.48936170212766</v>
      </c>
      <c r="P15" s="23">
        <v>38</v>
      </c>
      <c r="Q15" s="25">
        <v>39.196987589403086</v>
      </c>
      <c r="R15" s="23">
        <v>51.2</v>
      </c>
      <c r="S15" s="25">
        <v>54.814906219151041</v>
      </c>
      <c r="T15" s="21">
        <v>49.06766509840628</v>
      </c>
      <c r="U15" s="21" t="s">
        <v>7</v>
      </c>
    </row>
    <row r="16" spans="1:21" x14ac:dyDescent="0.25">
      <c r="A16" s="16" t="s">
        <v>15</v>
      </c>
      <c r="B16" s="17">
        <v>45.8</v>
      </c>
      <c r="C16" s="18">
        <v>51.4</v>
      </c>
      <c r="D16" s="19">
        <v>40.799999999999997</v>
      </c>
      <c r="E16" s="20">
        <v>45.3</v>
      </c>
      <c r="F16" s="21">
        <v>44.6</v>
      </c>
      <c r="G16" s="22">
        <v>49.9</v>
      </c>
      <c r="H16" s="23">
        <f>207/435*100</f>
        <v>47.586206896551722</v>
      </c>
      <c r="I16" s="24">
        <v>53.3</v>
      </c>
      <c r="J16" s="23">
        <v>45.4</v>
      </c>
      <c r="K16" s="25">
        <f>178/364*100</f>
        <v>48.901098901098898</v>
      </c>
      <c r="L16" s="23">
        <v>56.1</v>
      </c>
      <c r="M16" s="25">
        <f>247/391*100</f>
        <v>63.171355498721226</v>
      </c>
      <c r="N16" s="23">
        <v>48.6</v>
      </c>
      <c r="O16" s="25">
        <f>208/378*100</f>
        <v>55.026455026455025</v>
      </c>
      <c r="P16" s="23">
        <v>42.5</v>
      </c>
      <c r="Q16" s="25">
        <v>46.860273186134968</v>
      </c>
      <c r="R16" s="23">
        <v>40.5</v>
      </c>
      <c r="S16" s="25">
        <v>44.48477197412025</v>
      </c>
      <c r="T16" s="21">
        <v>36.070072631231433</v>
      </c>
      <c r="U16" s="21" t="s">
        <v>7</v>
      </c>
    </row>
    <row r="17" spans="1:21" x14ac:dyDescent="0.25">
      <c r="A17" s="16" t="s">
        <v>16</v>
      </c>
      <c r="B17" s="17">
        <v>40.4</v>
      </c>
      <c r="C17" s="18">
        <v>44.8</v>
      </c>
      <c r="D17" s="19">
        <v>39.200000000000003</v>
      </c>
      <c r="E17" s="20">
        <v>43.9</v>
      </c>
      <c r="F17" s="21">
        <v>38.4</v>
      </c>
      <c r="G17" s="22">
        <v>44.2</v>
      </c>
      <c r="H17" s="23">
        <f>5334/12539*100</f>
        <v>42.539277454342454</v>
      </c>
      <c r="I17" s="24">
        <v>48.3</v>
      </c>
      <c r="J17" s="23">
        <v>39</v>
      </c>
      <c r="K17" s="25">
        <f>4403/10033*100</f>
        <v>43.885178909598324</v>
      </c>
      <c r="L17" s="23">
        <v>43.5</v>
      </c>
      <c r="M17" s="25">
        <f>4601/9386*100</f>
        <v>49.019816748348603</v>
      </c>
      <c r="N17" s="23">
        <v>43.4</v>
      </c>
      <c r="O17" s="25">
        <f>4307/8769*100</f>
        <v>49.116204812407346</v>
      </c>
      <c r="P17" s="23">
        <v>46.6</v>
      </c>
      <c r="Q17" s="25">
        <v>51.252900804819049</v>
      </c>
      <c r="R17" s="23">
        <v>40.9</v>
      </c>
      <c r="S17" s="25">
        <v>45.087216942634626</v>
      </c>
      <c r="T17" s="23">
        <v>47.115642185210277</v>
      </c>
      <c r="U17" s="23">
        <v>34.799999999999997</v>
      </c>
    </row>
    <row r="18" spans="1:21" x14ac:dyDescent="0.25">
      <c r="A18" s="16" t="s">
        <v>17</v>
      </c>
      <c r="B18" s="17">
        <v>40</v>
      </c>
      <c r="C18" s="18">
        <v>43.2</v>
      </c>
      <c r="D18" s="19">
        <v>40.200000000000003</v>
      </c>
      <c r="E18" s="20">
        <v>43.6</v>
      </c>
      <c r="F18" s="21">
        <v>40.299999999999997</v>
      </c>
      <c r="G18" s="22">
        <v>43.9</v>
      </c>
      <c r="H18" s="23">
        <f>2431/6080*100</f>
        <v>39.983552631578945</v>
      </c>
      <c r="I18" s="24">
        <v>42.3</v>
      </c>
      <c r="J18" s="23">
        <v>37.4</v>
      </c>
      <c r="K18" s="25">
        <f>2090/5417*100</f>
        <v>38.582241092855824</v>
      </c>
      <c r="L18" s="23">
        <v>35.700000000000003</v>
      </c>
      <c r="M18" s="25">
        <f>1822/4987*100</f>
        <v>36.534990976539</v>
      </c>
      <c r="N18" s="23">
        <v>42.3</v>
      </c>
      <c r="O18" s="25">
        <f>1953/4321*100</f>
        <v>45.1978708632261</v>
      </c>
      <c r="P18" s="23">
        <v>39.4</v>
      </c>
      <c r="Q18" s="25">
        <v>40.745646781146881</v>
      </c>
      <c r="R18" s="23">
        <v>38.6</v>
      </c>
      <c r="S18" s="25">
        <v>39.492351742461373</v>
      </c>
      <c r="T18" s="23">
        <v>29.04797818645936</v>
      </c>
      <c r="U18" s="23">
        <v>39.6</v>
      </c>
    </row>
    <row r="19" spans="1:21" x14ac:dyDescent="0.25">
      <c r="A19" s="16" t="s">
        <v>18</v>
      </c>
      <c r="B19" s="17">
        <v>38.6</v>
      </c>
      <c r="C19" s="18">
        <v>41.8</v>
      </c>
      <c r="D19" s="19">
        <v>39.9</v>
      </c>
      <c r="E19" s="20">
        <v>43.1</v>
      </c>
      <c r="F19" s="21">
        <v>40.1</v>
      </c>
      <c r="G19" s="22">
        <v>43.4</v>
      </c>
      <c r="H19" s="23">
        <f>363/873*100</f>
        <v>41.580756013745706</v>
      </c>
      <c r="I19" s="25">
        <v>45.4</v>
      </c>
      <c r="J19" s="23">
        <v>48.1</v>
      </c>
      <c r="K19" s="25">
        <f>411/766*100</f>
        <v>53.655352480417747</v>
      </c>
      <c r="L19" s="23">
        <v>46.9</v>
      </c>
      <c r="M19" s="25">
        <f>391/742*100</f>
        <v>52.695417789757414</v>
      </c>
      <c r="N19" s="23">
        <v>51.6</v>
      </c>
      <c r="O19" s="25">
        <f>408/705*100</f>
        <v>57.87234042553191</v>
      </c>
      <c r="P19" s="23">
        <v>53</v>
      </c>
      <c r="Q19" s="25">
        <v>58.738164490376889</v>
      </c>
      <c r="R19" s="23">
        <v>54.3</v>
      </c>
      <c r="S19" s="25">
        <v>59.693344174700904</v>
      </c>
      <c r="T19" s="21">
        <v>49.91181059629605</v>
      </c>
      <c r="U19" s="21" t="s">
        <v>7</v>
      </c>
    </row>
    <row r="20" spans="1:21" x14ac:dyDescent="0.25">
      <c r="A20" s="16" t="s">
        <v>19</v>
      </c>
      <c r="B20" s="17">
        <v>39.1</v>
      </c>
      <c r="C20" s="18">
        <v>41.8</v>
      </c>
      <c r="D20" s="19">
        <v>44.7</v>
      </c>
      <c r="E20" s="20">
        <v>47.5</v>
      </c>
      <c r="F20" s="21">
        <v>49.1</v>
      </c>
      <c r="G20" s="22">
        <v>51.9</v>
      </c>
      <c r="H20" s="23">
        <f>425/950*100</f>
        <v>44.736842105263158</v>
      </c>
      <c r="I20" s="25">
        <v>46.4</v>
      </c>
      <c r="J20" s="23">
        <v>45</v>
      </c>
      <c r="K20" s="25">
        <f>396/833*100</f>
        <v>47.539015606242494</v>
      </c>
      <c r="L20" s="23">
        <v>50.7</v>
      </c>
      <c r="M20" s="25">
        <f>405/785*100</f>
        <v>51.592356687898089</v>
      </c>
      <c r="N20" s="23">
        <v>48.2</v>
      </c>
      <c r="O20" s="25">
        <f>342/674*100</f>
        <v>50.741839762611271</v>
      </c>
      <c r="P20" s="23">
        <v>64.900000000000006</v>
      </c>
      <c r="Q20" s="25">
        <v>67.374325261602479</v>
      </c>
      <c r="R20" s="23">
        <v>57.4</v>
      </c>
      <c r="S20" s="25">
        <v>58.984738955823289</v>
      </c>
      <c r="T20" s="21">
        <v>51.600520940434578</v>
      </c>
      <c r="U20" s="21" t="s">
        <v>7</v>
      </c>
    </row>
    <row r="21" spans="1:21" x14ac:dyDescent="0.25">
      <c r="A21" s="16" t="s">
        <v>20</v>
      </c>
      <c r="B21" s="17">
        <v>38.299999999999997</v>
      </c>
      <c r="C21" s="18">
        <v>41.7</v>
      </c>
      <c r="D21" s="19">
        <v>41.5</v>
      </c>
      <c r="E21" s="20">
        <v>45.5</v>
      </c>
      <c r="F21" s="21">
        <v>42.2</v>
      </c>
      <c r="G21" s="22">
        <v>47.3</v>
      </c>
      <c r="H21" s="23">
        <f>4014/9366*100</f>
        <v>42.857142857142854</v>
      </c>
      <c r="I21" s="25">
        <v>46.8</v>
      </c>
      <c r="J21" s="23">
        <v>44.5</v>
      </c>
      <c r="K21" s="25">
        <f>3857/8009*100</f>
        <v>48.158321887876134</v>
      </c>
      <c r="L21" s="23">
        <v>43</v>
      </c>
      <c r="M21" s="25">
        <f>3685/7975*100</f>
        <v>46.206896551724135</v>
      </c>
      <c r="N21" s="23">
        <v>48.3</v>
      </c>
      <c r="O21" s="25">
        <f>4135/7789*100</f>
        <v>53.087687764796513</v>
      </c>
      <c r="P21" s="23">
        <v>47.3</v>
      </c>
      <c r="Q21" s="25">
        <v>50.598039972220079</v>
      </c>
      <c r="R21" s="23">
        <v>55</v>
      </c>
      <c r="S21" s="25">
        <v>58.303973569760089</v>
      </c>
      <c r="T21" s="23">
        <v>46.936817053509742</v>
      </c>
      <c r="U21" s="23">
        <v>45.4</v>
      </c>
    </row>
    <row r="22" spans="1:21" x14ac:dyDescent="0.25">
      <c r="A22" s="16" t="s">
        <v>21</v>
      </c>
      <c r="B22" s="17">
        <v>33.5</v>
      </c>
      <c r="C22" s="18">
        <v>35.1</v>
      </c>
      <c r="D22" s="19">
        <v>38.200000000000003</v>
      </c>
      <c r="E22" s="20">
        <v>39.4</v>
      </c>
      <c r="F22" s="21">
        <v>44.3</v>
      </c>
      <c r="G22" s="22">
        <v>45.5</v>
      </c>
      <c r="H22" s="23">
        <f>1856/4646*100</f>
        <v>39.948342660352992</v>
      </c>
      <c r="I22" s="25">
        <v>40.4</v>
      </c>
      <c r="J22" s="23">
        <v>40</v>
      </c>
      <c r="K22" s="25">
        <f>1751/4318*100</f>
        <v>40.551181102362207</v>
      </c>
      <c r="L22" s="23">
        <v>38.700000000000003</v>
      </c>
      <c r="M22" s="25">
        <f>1620/4158*100</f>
        <v>38.961038961038966</v>
      </c>
      <c r="N22" s="23">
        <v>44.2</v>
      </c>
      <c r="O22" s="25">
        <f>1807/3873*100</f>
        <v>46.656338755486701</v>
      </c>
      <c r="P22" s="23">
        <v>49.3</v>
      </c>
      <c r="Q22" s="25">
        <v>50.50304917273499</v>
      </c>
      <c r="R22" s="23">
        <v>54.9</v>
      </c>
      <c r="S22" s="25">
        <v>56.398929049531453</v>
      </c>
      <c r="T22" s="23">
        <v>42.884156869193454</v>
      </c>
      <c r="U22" s="23">
        <v>53.3</v>
      </c>
    </row>
    <row r="23" spans="1:21" x14ac:dyDescent="0.25">
      <c r="A23" s="16" t="s">
        <v>22</v>
      </c>
      <c r="B23" s="17">
        <v>51.5</v>
      </c>
      <c r="C23" s="18">
        <v>52.9</v>
      </c>
      <c r="D23" s="19">
        <v>50.2</v>
      </c>
      <c r="E23" s="20">
        <v>52.3</v>
      </c>
      <c r="F23" s="21">
        <v>52.4</v>
      </c>
      <c r="G23" s="22">
        <v>54.6</v>
      </c>
      <c r="H23" s="23">
        <f>1053/2152*100</f>
        <v>48.931226765799259</v>
      </c>
      <c r="I23" s="25">
        <v>50.9</v>
      </c>
      <c r="J23" s="23">
        <v>51.6</v>
      </c>
      <c r="K23" s="25">
        <f>1084/2063*100</f>
        <v>52.544837615123605</v>
      </c>
      <c r="L23" s="23">
        <v>52.5</v>
      </c>
      <c r="M23" s="25">
        <f>1080/2021*100</f>
        <v>53.438891637803067</v>
      </c>
      <c r="N23" s="23">
        <v>50.5</v>
      </c>
      <c r="O23" s="25">
        <f>1044/2015*100</f>
        <v>51.811414392059554</v>
      </c>
      <c r="P23" s="23">
        <v>48.1</v>
      </c>
      <c r="Q23" s="25">
        <v>49.656039424720916</v>
      </c>
      <c r="R23" s="23">
        <v>56.4</v>
      </c>
      <c r="S23" s="25">
        <v>58.662521025536471</v>
      </c>
      <c r="T23" s="23">
        <v>46.235835518828246</v>
      </c>
      <c r="U23" s="21" t="s">
        <v>7</v>
      </c>
    </row>
    <row r="24" spans="1:21" x14ac:dyDescent="0.25">
      <c r="A24" s="16" t="s">
        <v>23</v>
      </c>
      <c r="B24" s="17">
        <v>45.3</v>
      </c>
      <c r="C24" s="18">
        <v>48.3</v>
      </c>
      <c r="D24" s="19">
        <v>45.2</v>
      </c>
      <c r="E24" s="20">
        <v>47.2</v>
      </c>
      <c r="F24" s="21">
        <v>44.3</v>
      </c>
      <c r="G24" s="22">
        <v>46.5</v>
      </c>
      <c r="H24" s="23">
        <f>944/2038*100</f>
        <v>46.319921491658491</v>
      </c>
      <c r="I24" s="25">
        <v>48.7</v>
      </c>
      <c r="J24" s="23">
        <v>40.1</v>
      </c>
      <c r="K24" s="25">
        <f>749/1799*100</f>
        <v>41.634241245136188</v>
      </c>
      <c r="L24" s="23">
        <v>50.7</v>
      </c>
      <c r="M24" s="25">
        <f>912/1762*100</f>
        <v>51.759364358683314</v>
      </c>
      <c r="N24" s="23">
        <v>52.4</v>
      </c>
      <c r="O24" s="25">
        <f>943/1739*100</f>
        <v>54.22656699252444</v>
      </c>
      <c r="P24" s="23">
        <v>53.5</v>
      </c>
      <c r="Q24" s="25">
        <v>54.792575784022816</v>
      </c>
      <c r="R24" s="23">
        <v>54.3</v>
      </c>
      <c r="S24" s="25">
        <v>56.049921240760938</v>
      </c>
      <c r="T24" s="21">
        <v>50.914909179568447</v>
      </c>
      <c r="U24" s="21" t="s">
        <v>7</v>
      </c>
    </row>
    <row r="25" spans="1:21" x14ac:dyDescent="0.25">
      <c r="A25" s="16" t="s">
        <v>24</v>
      </c>
      <c r="B25" s="17">
        <v>45.9</v>
      </c>
      <c r="C25" s="18">
        <v>47.5</v>
      </c>
      <c r="D25" s="19">
        <v>45.5</v>
      </c>
      <c r="E25" s="20">
        <v>46.8</v>
      </c>
      <c r="F25" s="21">
        <v>48</v>
      </c>
      <c r="G25" s="22">
        <v>49.4</v>
      </c>
      <c r="H25" s="23">
        <f>1367/3012*100</f>
        <v>45.385126162018594</v>
      </c>
      <c r="I25" s="25">
        <v>45.8</v>
      </c>
      <c r="J25" s="23">
        <v>44.4</v>
      </c>
      <c r="K25" s="25">
        <f>1311/2905*100</f>
        <v>45.129087779690188</v>
      </c>
      <c r="L25" s="23">
        <v>34.6</v>
      </c>
      <c r="M25" s="25">
        <f>972/2781*100</f>
        <v>34.95145631067961</v>
      </c>
      <c r="N25" s="23">
        <v>39</v>
      </c>
      <c r="O25" s="25">
        <f>1047/2590*100</f>
        <v>40.424710424710426</v>
      </c>
      <c r="P25" s="23">
        <v>34.299999999999997</v>
      </c>
      <c r="Q25" s="25">
        <v>35.031824885508037</v>
      </c>
      <c r="R25" s="23">
        <v>35.700000000000003</v>
      </c>
      <c r="S25" s="25">
        <v>36.884730176655637</v>
      </c>
      <c r="T25" s="23">
        <v>29.689033009062939</v>
      </c>
      <c r="U25" s="21" t="s">
        <v>7</v>
      </c>
    </row>
    <row r="26" spans="1:21" x14ac:dyDescent="0.25">
      <c r="A26" s="16" t="s">
        <v>25</v>
      </c>
      <c r="B26" s="17">
        <v>48.6</v>
      </c>
      <c r="C26" s="18">
        <v>50.2</v>
      </c>
      <c r="D26" s="19">
        <v>48.8</v>
      </c>
      <c r="E26" s="20">
        <v>50</v>
      </c>
      <c r="F26" s="21">
        <v>39.1</v>
      </c>
      <c r="G26" s="22">
        <v>40</v>
      </c>
      <c r="H26" s="23">
        <f>1527/3092*100</f>
        <v>49.385510996119017</v>
      </c>
      <c r="I26" s="25">
        <v>50.3</v>
      </c>
      <c r="J26" s="23">
        <v>38.299999999999997</v>
      </c>
      <c r="K26" s="25">
        <f>1193/3073*100</f>
        <v>38.821998047510576</v>
      </c>
      <c r="L26" s="23">
        <v>34.200000000000003</v>
      </c>
      <c r="M26" s="25">
        <f>1031/2971*100</f>
        <v>34.702120498148773</v>
      </c>
      <c r="N26" s="23">
        <v>51.4</v>
      </c>
      <c r="O26" s="25">
        <f>1543/2876*100</f>
        <v>53.650904033379696</v>
      </c>
      <c r="P26" s="23">
        <v>56.7</v>
      </c>
      <c r="Q26" s="25">
        <v>59.150670969933749</v>
      </c>
      <c r="R26" s="23">
        <v>25.7</v>
      </c>
      <c r="S26" s="25">
        <v>26.317405095671749</v>
      </c>
      <c r="T26" s="23">
        <v>37.281694448692463</v>
      </c>
      <c r="U26" s="21" t="s">
        <v>7</v>
      </c>
    </row>
    <row r="27" spans="1:21" x14ac:dyDescent="0.25">
      <c r="A27" s="16" t="s">
        <v>26</v>
      </c>
      <c r="B27" s="17">
        <v>60.5</v>
      </c>
      <c r="C27" s="18">
        <v>61.5</v>
      </c>
      <c r="D27" s="19">
        <v>58.4</v>
      </c>
      <c r="E27" s="20">
        <v>59.4</v>
      </c>
      <c r="F27" s="21">
        <v>57.5</v>
      </c>
      <c r="G27" s="22">
        <v>58.1</v>
      </c>
      <c r="H27" s="23">
        <f>594/1042*100</f>
        <v>57.005758157389629</v>
      </c>
      <c r="I27" s="25">
        <v>57.8</v>
      </c>
      <c r="J27" s="23">
        <v>47.9</v>
      </c>
      <c r="K27" s="25">
        <f>450/932*100</f>
        <v>48.283261802575105</v>
      </c>
      <c r="L27" s="23">
        <v>58.3</v>
      </c>
      <c r="M27" s="25">
        <f>530/888*100</f>
        <v>59.684684684684683</v>
      </c>
      <c r="N27" s="23">
        <v>64.7</v>
      </c>
      <c r="O27" s="25">
        <f>586/877*100</f>
        <v>66.818700114025091</v>
      </c>
      <c r="P27" s="23">
        <v>54.6</v>
      </c>
      <c r="Q27" s="25">
        <v>55.663818814834173</v>
      </c>
      <c r="R27" s="23">
        <v>62.6</v>
      </c>
      <c r="S27" s="25">
        <v>63.967176219196098</v>
      </c>
      <c r="T27" s="21">
        <v>58.957976551179023</v>
      </c>
      <c r="U27" s="21" t="s">
        <v>7</v>
      </c>
    </row>
    <row r="28" spans="1:21" x14ac:dyDescent="0.25">
      <c r="A28" s="16" t="s">
        <v>27</v>
      </c>
      <c r="B28" s="17">
        <v>44.7</v>
      </c>
      <c r="C28" s="18">
        <v>48.9</v>
      </c>
      <c r="D28" s="19">
        <v>42.1</v>
      </c>
      <c r="E28" s="20">
        <v>46.8</v>
      </c>
      <c r="F28" s="21">
        <v>51.4</v>
      </c>
      <c r="G28" s="22">
        <v>56.4</v>
      </c>
      <c r="H28" s="23">
        <f>1826/3922*100</f>
        <v>46.557878633350327</v>
      </c>
      <c r="I28" s="25">
        <v>51</v>
      </c>
      <c r="J28" s="23">
        <v>47.3</v>
      </c>
      <c r="K28" s="25">
        <f>1825/3555*100</f>
        <v>51.336146272855132</v>
      </c>
      <c r="L28" s="23">
        <v>46.9</v>
      </c>
      <c r="M28" s="25">
        <f>1749/3551*100</f>
        <v>49.253731343283583</v>
      </c>
      <c r="N28" s="23">
        <v>39.4</v>
      </c>
      <c r="O28" s="25">
        <f>1383/3263*100</f>
        <v>42.38430891817346</v>
      </c>
      <c r="P28" s="23">
        <v>43.1</v>
      </c>
      <c r="Q28" s="25">
        <v>45.782266235251825</v>
      </c>
      <c r="R28" s="23">
        <v>47.3</v>
      </c>
      <c r="S28" s="25">
        <v>49.922433562660196</v>
      </c>
      <c r="T28" s="23">
        <v>45.359121726262174</v>
      </c>
      <c r="U28" s="21" t="s">
        <v>7</v>
      </c>
    </row>
    <row r="29" spans="1:21" x14ac:dyDescent="0.25">
      <c r="A29" s="16" t="s">
        <v>28</v>
      </c>
      <c r="B29" s="17">
        <v>42.8</v>
      </c>
      <c r="C29" s="18">
        <v>46.9</v>
      </c>
      <c r="D29" s="19">
        <v>48.1</v>
      </c>
      <c r="E29" s="20">
        <v>52.2</v>
      </c>
      <c r="F29" s="21">
        <v>50</v>
      </c>
      <c r="G29" s="22">
        <v>55.4</v>
      </c>
      <c r="H29" s="23">
        <f>2340/4931*100</f>
        <v>47.454877306834312</v>
      </c>
      <c r="I29" s="25">
        <v>52.5</v>
      </c>
      <c r="J29" s="23">
        <v>46.2</v>
      </c>
      <c r="K29" s="25">
        <f>2124/4234*100</f>
        <v>50.165328294756726</v>
      </c>
      <c r="L29" s="23">
        <v>51.9</v>
      </c>
      <c r="M29" s="25">
        <f>2351/4277*100</f>
        <v>54.968435819499653</v>
      </c>
      <c r="N29" s="23">
        <v>58.8</v>
      </c>
      <c r="O29" s="25">
        <f>2637/4073*100</f>
        <v>64.743432359440206</v>
      </c>
      <c r="P29" s="23">
        <v>48.4</v>
      </c>
      <c r="Q29" s="25">
        <v>51.782938204430629</v>
      </c>
      <c r="R29" s="23">
        <v>53.7</v>
      </c>
      <c r="S29" s="25">
        <v>58.826068191627101</v>
      </c>
      <c r="T29" s="23">
        <v>55.906846131499954</v>
      </c>
      <c r="U29" s="23">
        <v>51</v>
      </c>
    </row>
    <row r="30" spans="1:21" x14ac:dyDescent="0.25">
      <c r="A30" s="16" t="s">
        <v>29</v>
      </c>
      <c r="B30" s="17">
        <v>45.1</v>
      </c>
      <c r="C30" s="18">
        <v>47.1</v>
      </c>
      <c r="D30" s="19">
        <v>45.2</v>
      </c>
      <c r="E30" s="20">
        <v>47.3</v>
      </c>
      <c r="F30" s="21">
        <v>54.8</v>
      </c>
      <c r="G30" s="22">
        <v>57.1</v>
      </c>
      <c r="H30" s="23">
        <f>3684/7629*100</f>
        <v>48.289421942587495</v>
      </c>
      <c r="I30" s="25">
        <v>50.3</v>
      </c>
      <c r="J30" s="23">
        <v>49.7</v>
      </c>
      <c r="K30" s="25">
        <f>3590/7029*100</f>
        <v>51.074121496656709</v>
      </c>
      <c r="L30" s="23">
        <v>52.3</v>
      </c>
      <c r="M30" s="25">
        <f>3623/6766*100</f>
        <v>53.547147502216966</v>
      </c>
      <c r="N30" s="23">
        <v>45.4</v>
      </c>
      <c r="O30" s="25">
        <f>3061/6262*100</f>
        <v>48.882146279144045</v>
      </c>
      <c r="P30" s="23">
        <v>44.5</v>
      </c>
      <c r="Q30" s="25">
        <v>47.215410428497677</v>
      </c>
      <c r="R30" s="23">
        <v>54</v>
      </c>
      <c r="S30" s="25">
        <v>57.11740573053725</v>
      </c>
      <c r="T30" s="23">
        <v>53.556719134127263</v>
      </c>
      <c r="U30" s="23">
        <v>48.8</v>
      </c>
    </row>
    <row r="31" spans="1:21" x14ac:dyDescent="0.25">
      <c r="A31" s="16" t="s">
        <v>30</v>
      </c>
      <c r="B31" s="17">
        <v>49.9</v>
      </c>
      <c r="C31" s="18">
        <v>52</v>
      </c>
      <c r="D31" s="19">
        <v>52.8</v>
      </c>
      <c r="E31" s="20">
        <v>54.9</v>
      </c>
      <c r="F31" s="21">
        <v>61.6</v>
      </c>
      <c r="G31" s="22">
        <v>65.400000000000006</v>
      </c>
      <c r="H31" s="23">
        <f>2450/3823*100</f>
        <v>64.085796494899299</v>
      </c>
      <c r="I31" s="25">
        <v>67.400000000000006</v>
      </c>
      <c r="J31" s="23">
        <v>64.2</v>
      </c>
      <c r="K31" s="25">
        <f>2212/3356*100</f>
        <v>65.911799761620983</v>
      </c>
      <c r="L31" s="23">
        <v>58.5</v>
      </c>
      <c r="M31" s="25">
        <f>1929/3274*100</f>
        <v>58.918753817959683</v>
      </c>
      <c r="N31" s="23">
        <v>62.9</v>
      </c>
      <c r="O31" s="25">
        <f>2012/3102*100</f>
        <v>64.861379754996776</v>
      </c>
      <c r="P31" s="23">
        <v>59.3</v>
      </c>
      <c r="Q31" s="25">
        <v>61.012777721587277</v>
      </c>
      <c r="R31" s="23">
        <v>66.8</v>
      </c>
      <c r="S31" s="25">
        <v>68.907445091572527</v>
      </c>
      <c r="T31" s="23">
        <v>64.156161333189658</v>
      </c>
      <c r="U31" s="21" t="s">
        <v>7</v>
      </c>
    </row>
    <row r="32" spans="1:21" x14ac:dyDescent="0.25">
      <c r="A32" s="16" t="s">
        <v>31</v>
      </c>
      <c r="B32" s="17">
        <v>41.6</v>
      </c>
      <c r="C32" s="18">
        <v>42.3</v>
      </c>
      <c r="D32" s="19">
        <v>46.5</v>
      </c>
      <c r="E32" s="20">
        <v>47.1</v>
      </c>
      <c r="F32" s="21">
        <v>42.2</v>
      </c>
      <c r="G32" s="22">
        <v>42.8</v>
      </c>
      <c r="H32" s="23">
        <f>855/2014*100</f>
        <v>42.452830188679243</v>
      </c>
      <c r="I32" s="25">
        <v>43.1</v>
      </c>
      <c r="J32" s="23">
        <v>40.200000000000003</v>
      </c>
      <c r="K32" s="25">
        <f>793/1975*100</f>
        <v>40.151898734177216</v>
      </c>
      <c r="L32" s="23">
        <v>44.3</v>
      </c>
      <c r="M32" s="25">
        <f>826/1855*100</f>
        <v>44.528301886792455</v>
      </c>
      <c r="N32" s="23">
        <v>34.700000000000003</v>
      </c>
      <c r="O32" s="25">
        <f>631/1779*100</f>
        <v>35.46936481169196</v>
      </c>
      <c r="P32" s="23">
        <v>43.7</v>
      </c>
      <c r="Q32" s="25">
        <v>44.048087186113143</v>
      </c>
      <c r="R32" s="23">
        <v>51.9</v>
      </c>
      <c r="S32" s="25">
        <v>52.893829508976339</v>
      </c>
      <c r="T32" s="21">
        <v>48.46955533097524</v>
      </c>
      <c r="U32" s="21" t="s">
        <v>7</v>
      </c>
    </row>
    <row r="33" spans="1:21" x14ac:dyDescent="0.25">
      <c r="A33" s="16" t="s">
        <v>32</v>
      </c>
      <c r="B33" s="17">
        <v>38</v>
      </c>
      <c r="C33" s="18">
        <v>38.700000000000003</v>
      </c>
      <c r="D33" s="19">
        <v>44.5</v>
      </c>
      <c r="E33" s="20">
        <v>45.7</v>
      </c>
      <c r="F33" s="21">
        <v>52.6</v>
      </c>
      <c r="G33" s="22">
        <v>54</v>
      </c>
      <c r="H33" s="23">
        <f>2134/4143*100</f>
        <v>51.508568670045861</v>
      </c>
      <c r="I33" s="25">
        <v>52.6</v>
      </c>
      <c r="J33" s="23">
        <v>45.8</v>
      </c>
      <c r="K33" s="25">
        <f>1816/3879*100</f>
        <v>46.816189739623617</v>
      </c>
      <c r="L33" s="23">
        <v>54.6</v>
      </c>
      <c r="M33" s="25">
        <f>2073/3732*100</f>
        <v>55.546623794212216</v>
      </c>
      <c r="N33" s="23">
        <v>40.9</v>
      </c>
      <c r="O33" s="25">
        <f>1548/3645*100</f>
        <v>42.46913580246914</v>
      </c>
      <c r="P33" s="23">
        <v>46.7</v>
      </c>
      <c r="Q33" s="25">
        <v>48.139994984256134</v>
      </c>
      <c r="R33" s="23">
        <v>51.2</v>
      </c>
      <c r="S33" s="25">
        <v>53.625746477215898</v>
      </c>
      <c r="T33" s="23">
        <v>52.829015544041447</v>
      </c>
      <c r="U33" s="23">
        <v>45.2</v>
      </c>
    </row>
    <row r="34" spans="1:21" x14ac:dyDescent="0.25">
      <c r="A34" s="16" t="s">
        <v>33</v>
      </c>
      <c r="B34" s="17">
        <v>49.7</v>
      </c>
      <c r="C34" s="18">
        <v>50.1</v>
      </c>
      <c r="D34" s="19">
        <v>51.3</v>
      </c>
      <c r="E34" s="20">
        <v>51.9</v>
      </c>
      <c r="F34" s="21">
        <v>59.2</v>
      </c>
      <c r="G34" s="22">
        <v>59.6</v>
      </c>
      <c r="H34" s="23">
        <f>363/680*100</f>
        <v>53.382352941176471</v>
      </c>
      <c r="I34" s="25">
        <v>53.9</v>
      </c>
      <c r="J34" s="23">
        <v>53.3</v>
      </c>
      <c r="K34" s="25">
        <f>349/647*100</f>
        <v>53.941267387944357</v>
      </c>
      <c r="L34" s="23">
        <v>60.7</v>
      </c>
      <c r="M34" s="25">
        <f>376/614*100</f>
        <v>61.237785016286651</v>
      </c>
      <c r="N34" s="23">
        <v>62.7</v>
      </c>
      <c r="O34" s="25">
        <f>360/558*100</f>
        <v>64.516129032258064</v>
      </c>
      <c r="P34" s="23">
        <v>65.099999999999994</v>
      </c>
      <c r="Q34" s="25">
        <v>66.062504399239813</v>
      </c>
      <c r="R34" s="23">
        <v>61.3</v>
      </c>
      <c r="S34" s="25">
        <v>62.626994331661201</v>
      </c>
      <c r="T34" s="21">
        <v>59.81995952871759</v>
      </c>
      <c r="U34" s="21" t="s">
        <v>7</v>
      </c>
    </row>
    <row r="35" spans="1:21" x14ac:dyDescent="0.25">
      <c r="A35" s="16" t="s">
        <v>34</v>
      </c>
      <c r="B35" s="17">
        <v>41.4</v>
      </c>
      <c r="C35" s="18">
        <v>44.3</v>
      </c>
      <c r="D35" s="19">
        <v>38.700000000000003</v>
      </c>
      <c r="E35" s="20">
        <v>41.3</v>
      </c>
      <c r="F35" s="21">
        <v>48.9</v>
      </c>
      <c r="G35" s="22">
        <v>51.2</v>
      </c>
      <c r="H35" s="23">
        <f>546/1257*100</f>
        <v>43.436754176610982</v>
      </c>
      <c r="I35" s="25">
        <v>46.1</v>
      </c>
      <c r="J35" s="23">
        <v>45.3</v>
      </c>
      <c r="K35" s="25">
        <f>540/1153*100</f>
        <v>46.834345186470081</v>
      </c>
      <c r="L35" s="23">
        <v>54.4</v>
      </c>
      <c r="M35" s="25">
        <f>629/1148*100</f>
        <v>54.79094076655052</v>
      </c>
      <c r="N35" s="23">
        <v>57.8</v>
      </c>
      <c r="O35" s="25">
        <f>669/1120*100</f>
        <v>59.732142857142854</v>
      </c>
      <c r="P35" s="23">
        <v>54.5</v>
      </c>
      <c r="Q35" s="25">
        <v>55.474303019506543</v>
      </c>
      <c r="R35" s="23">
        <v>56</v>
      </c>
      <c r="S35" s="25">
        <v>57.041540020263412</v>
      </c>
      <c r="T35" s="21">
        <v>52.315115523800685</v>
      </c>
      <c r="U35" s="21" t="s">
        <v>7</v>
      </c>
    </row>
    <row r="36" spans="1:21" x14ac:dyDescent="0.25">
      <c r="A36" s="16" t="s">
        <v>35</v>
      </c>
      <c r="B36" s="17">
        <v>32.6</v>
      </c>
      <c r="C36" s="18">
        <v>37.299999999999997</v>
      </c>
      <c r="D36" s="19">
        <v>37.299999999999997</v>
      </c>
      <c r="E36" s="20">
        <v>42.4</v>
      </c>
      <c r="F36" s="21">
        <v>37.299999999999997</v>
      </c>
      <c r="G36" s="22">
        <v>42.6</v>
      </c>
      <c r="H36" s="23">
        <f>585/1580*100</f>
        <v>37.025316455696199</v>
      </c>
      <c r="I36" s="25">
        <v>42.7</v>
      </c>
      <c r="J36" s="23">
        <v>33.1</v>
      </c>
      <c r="K36" s="25">
        <f>429/1160*100</f>
        <v>36.982758620689651</v>
      </c>
      <c r="L36" s="23">
        <v>40.4</v>
      </c>
      <c r="M36" s="25">
        <f>437/985*100</f>
        <v>44.36548223350254</v>
      </c>
      <c r="N36" s="23">
        <v>42.5</v>
      </c>
      <c r="O36" s="25">
        <f>367/796*100</f>
        <v>46.105527638190956</v>
      </c>
      <c r="P36" s="23">
        <v>42.5</v>
      </c>
      <c r="Q36" s="25">
        <v>45.093882950735875</v>
      </c>
      <c r="R36" s="23">
        <v>41.6</v>
      </c>
      <c r="S36" s="25">
        <v>44.541570495506562</v>
      </c>
      <c r="T36" s="21">
        <v>40.7007847905383</v>
      </c>
      <c r="U36" s="21" t="s">
        <v>7</v>
      </c>
    </row>
    <row r="37" spans="1:21" x14ac:dyDescent="0.25">
      <c r="A37" s="16" t="s">
        <v>36</v>
      </c>
      <c r="B37" s="17">
        <v>48.6</v>
      </c>
      <c r="C37" s="18">
        <v>50.2</v>
      </c>
      <c r="D37" s="19">
        <v>45.9</v>
      </c>
      <c r="E37" s="20">
        <v>46.9</v>
      </c>
      <c r="F37" s="21">
        <v>47</v>
      </c>
      <c r="G37" s="22">
        <v>48.4</v>
      </c>
      <c r="H37" s="23">
        <f>485/991*100</f>
        <v>48.940464177598386</v>
      </c>
      <c r="I37" s="25">
        <v>51</v>
      </c>
      <c r="J37" s="23">
        <v>40.9</v>
      </c>
      <c r="K37" s="25">
        <f>357/853*100</f>
        <v>41.852286049237989</v>
      </c>
      <c r="L37" s="23">
        <v>41.7</v>
      </c>
      <c r="M37" s="25">
        <f>347/808*100</f>
        <v>42.945544554455445</v>
      </c>
      <c r="N37" s="23">
        <v>44.3</v>
      </c>
      <c r="O37" s="25">
        <f>368/801*100</f>
        <v>45.942571785268413</v>
      </c>
      <c r="P37" s="23">
        <v>37.6</v>
      </c>
      <c r="Q37" s="25">
        <v>39.231401848315464</v>
      </c>
      <c r="R37" s="23">
        <v>49.5</v>
      </c>
      <c r="S37" s="25">
        <v>51.352628290125438</v>
      </c>
      <c r="T37" s="21">
        <v>52.685507077629367</v>
      </c>
      <c r="U37" s="21" t="s">
        <v>7</v>
      </c>
    </row>
    <row r="38" spans="1:21" x14ac:dyDescent="0.25">
      <c r="A38" s="16" t="s">
        <v>37</v>
      </c>
      <c r="B38" s="17">
        <v>31.5</v>
      </c>
      <c r="C38" s="18">
        <v>36.4</v>
      </c>
      <c r="D38" s="19">
        <v>36.200000000000003</v>
      </c>
      <c r="E38" s="20">
        <v>41.7</v>
      </c>
      <c r="F38" s="21">
        <v>37.1</v>
      </c>
      <c r="G38" s="22">
        <v>43.3</v>
      </c>
      <c r="H38" s="23">
        <f>2504/6669*100</f>
        <v>37.546858599490179</v>
      </c>
      <c r="I38" s="25">
        <v>42.8</v>
      </c>
      <c r="J38" s="23">
        <v>35.5</v>
      </c>
      <c r="K38" s="25">
        <f>2152/6059*100</f>
        <v>35.517412114210266</v>
      </c>
      <c r="L38" s="23">
        <v>41</v>
      </c>
      <c r="M38" s="25">
        <f>2426/5366*100</f>
        <v>45.210585165859115</v>
      </c>
      <c r="N38" s="23">
        <v>41.8</v>
      </c>
      <c r="O38" s="25">
        <f>2437/5192*100</f>
        <v>46.93759630200308</v>
      </c>
      <c r="P38" s="23">
        <v>37.299999999999997</v>
      </c>
      <c r="Q38" s="25">
        <v>40.327155824508324</v>
      </c>
      <c r="R38" s="23">
        <v>48.6</v>
      </c>
      <c r="S38" s="25">
        <v>52.558388304510608</v>
      </c>
      <c r="T38" s="23">
        <v>41.823308270676691</v>
      </c>
      <c r="U38" s="23">
        <v>46.4</v>
      </c>
    </row>
    <row r="39" spans="1:21" x14ac:dyDescent="0.25">
      <c r="A39" s="16" t="s">
        <v>38</v>
      </c>
      <c r="B39" s="17">
        <v>42.1</v>
      </c>
      <c r="C39" s="18">
        <v>45.6</v>
      </c>
      <c r="D39" s="19">
        <v>38.9</v>
      </c>
      <c r="E39" s="20">
        <v>42.5</v>
      </c>
      <c r="F39" s="21">
        <v>50.9</v>
      </c>
      <c r="G39" s="22">
        <v>54.3</v>
      </c>
      <c r="H39" s="23">
        <f>547/1318*100</f>
        <v>41.502276176024274</v>
      </c>
      <c r="I39" s="25">
        <v>44.4</v>
      </c>
      <c r="J39" s="23">
        <v>48.2</v>
      </c>
      <c r="K39" s="25">
        <f>604/1172*100</f>
        <v>51.535836177474401</v>
      </c>
      <c r="L39" s="23">
        <v>47</v>
      </c>
      <c r="M39" s="25">
        <f>552/1100*100</f>
        <v>50.18181818181818</v>
      </c>
      <c r="N39" s="23">
        <v>45.6</v>
      </c>
      <c r="O39" s="25">
        <f>484/976*100</f>
        <v>49.590163934426229</v>
      </c>
      <c r="P39" s="23">
        <v>47.1</v>
      </c>
      <c r="Q39" s="25">
        <v>48.879870631495464</v>
      </c>
      <c r="R39" s="23">
        <v>58.1</v>
      </c>
      <c r="S39" s="25">
        <v>59.959218351741718</v>
      </c>
      <c r="T39" s="21">
        <v>50.068262837205779</v>
      </c>
      <c r="U39" s="21" t="s">
        <v>7</v>
      </c>
    </row>
    <row r="40" spans="1:21" x14ac:dyDescent="0.25">
      <c r="A40" s="16" t="s">
        <v>39</v>
      </c>
      <c r="B40" s="17">
        <v>30.6</v>
      </c>
      <c r="C40" s="18">
        <v>34.4</v>
      </c>
      <c r="D40" s="19">
        <v>38.4</v>
      </c>
      <c r="E40" s="20">
        <v>43.6</v>
      </c>
      <c r="F40" s="21">
        <v>37.6</v>
      </c>
      <c r="G40" s="22">
        <v>42.5</v>
      </c>
      <c r="H40" s="23">
        <f>5417/14206*100</f>
        <v>38.131775306208645</v>
      </c>
      <c r="I40" s="25">
        <v>43.6</v>
      </c>
      <c r="J40" s="23">
        <v>41.4</v>
      </c>
      <c r="K40" s="25">
        <f>5568/11545*100</f>
        <v>48.228670420095284</v>
      </c>
      <c r="L40" s="23">
        <v>45.3</v>
      </c>
      <c r="M40" s="25">
        <f>6158/11962*100</f>
        <v>51.47968567129243</v>
      </c>
      <c r="N40" s="23">
        <v>41.5</v>
      </c>
      <c r="O40" s="25">
        <f>5541/11432*100</f>
        <v>48.469209237228831</v>
      </c>
      <c r="P40" s="23">
        <v>43.8</v>
      </c>
      <c r="Q40" s="25">
        <v>50.538791218402871</v>
      </c>
      <c r="R40" s="23">
        <v>48.2</v>
      </c>
      <c r="S40" s="25">
        <v>54.162604456824518</v>
      </c>
      <c r="T40" s="23">
        <v>45.993077951702979</v>
      </c>
      <c r="U40" s="23">
        <v>48</v>
      </c>
    </row>
    <row r="41" spans="1:21" x14ac:dyDescent="0.25">
      <c r="A41" s="16" t="s">
        <v>40</v>
      </c>
      <c r="B41" s="17">
        <v>42.8</v>
      </c>
      <c r="C41" s="18">
        <v>46.2</v>
      </c>
      <c r="D41" s="19">
        <v>43</v>
      </c>
      <c r="E41" s="20">
        <v>45.4</v>
      </c>
      <c r="F41" s="21">
        <v>37.299999999999997</v>
      </c>
      <c r="G41" s="22">
        <v>40.299999999999997</v>
      </c>
      <c r="H41" s="23">
        <f>2537/5978*100</f>
        <v>42.438942790230847</v>
      </c>
      <c r="I41" s="25">
        <v>44.7</v>
      </c>
      <c r="J41" s="23">
        <v>39.4</v>
      </c>
      <c r="K41" s="25">
        <f>2180/5392*100</f>
        <v>40.430267062314542</v>
      </c>
      <c r="L41" s="23">
        <v>35.799999999999997</v>
      </c>
      <c r="M41" s="25">
        <f>1864/5121*100</f>
        <v>36.399140792813903</v>
      </c>
      <c r="N41" s="23">
        <v>49.3</v>
      </c>
      <c r="O41" s="25">
        <f>2385/4676*100</f>
        <v>51.005132591958933</v>
      </c>
      <c r="P41" s="23">
        <v>45.2</v>
      </c>
      <c r="Q41" s="25">
        <v>46.101498910287766</v>
      </c>
      <c r="R41" s="23">
        <v>39</v>
      </c>
      <c r="S41" s="25">
        <v>39.712305355108242</v>
      </c>
      <c r="T41" s="23">
        <v>30.878606706524568</v>
      </c>
      <c r="U41" s="23">
        <v>34.1</v>
      </c>
    </row>
    <row r="42" spans="1:21" x14ac:dyDescent="0.25">
      <c r="A42" s="16" t="s">
        <v>41</v>
      </c>
      <c r="B42" s="17">
        <v>49.2</v>
      </c>
      <c r="C42" s="18">
        <v>51</v>
      </c>
      <c r="D42" s="19">
        <v>54.5</v>
      </c>
      <c r="E42" s="20">
        <v>55.7</v>
      </c>
      <c r="F42" s="21">
        <v>53.4</v>
      </c>
      <c r="G42" s="22">
        <v>54.4</v>
      </c>
      <c r="H42" s="23">
        <f>279/492*100</f>
        <v>56.707317073170728</v>
      </c>
      <c r="I42" s="25">
        <v>57.5</v>
      </c>
      <c r="J42" s="23">
        <v>57</v>
      </c>
      <c r="K42" s="25">
        <f>262/456*100</f>
        <v>57.456140350877192</v>
      </c>
      <c r="L42" s="23">
        <v>61.3</v>
      </c>
      <c r="M42" s="25">
        <f>270/438*100</f>
        <v>61.643835616438359</v>
      </c>
      <c r="N42" s="23">
        <v>60.1</v>
      </c>
      <c r="O42" s="25">
        <f>271/440*100</f>
        <v>61.590909090909093</v>
      </c>
      <c r="P42" s="23">
        <v>72.7</v>
      </c>
      <c r="Q42" s="25">
        <v>74.112821862525777</v>
      </c>
      <c r="R42" s="23">
        <v>64.3</v>
      </c>
      <c r="S42" s="25">
        <v>65.265987232612829</v>
      </c>
      <c r="T42" s="21">
        <v>59.639991817995863</v>
      </c>
      <c r="U42" s="21" t="s">
        <v>7</v>
      </c>
    </row>
    <row r="43" spans="1:21" x14ac:dyDescent="0.25">
      <c r="A43" s="16" t="s">
        <v>42</v>
      </c>
      <c r="B43" s="17">
        <v>38.5</v>
      </c>
      <c r="C43" s="18">
        <v>39.700000000000003</v>
      </c>
      <c r="D43" s="19">
        <v>44.2</v>
      </c>
      <c r="E43" s="20">
        <v>45.2</v>
      </c>
      <c r="F43" s="21">
        <v>51.8</v>
      </c>
      <c r="G43" s="22">
        <v>53</v>
      </c>
      <c r="H43" s="23">
        <f>3652/8604*100</f>
        <v>42.445374244537426</v>
      </c>
      <c r="I43" s="25">
        <v>43.6</v>
      </c>
      <c r="J43" s="23">
        <v>44.6</v>
      </c>
      <c r="K43" s="25">
        <f>3685/8123*100</f>
        <v>45.365012926258771</v>
      </c>
      <c r="L43" s="23">
        <v>46.7</v>
      </c>
      <c r="M43" s="25">
        <f>3805/8096*100</f>
        <v>46.998517786561266</v>
      </c>
      <c r="N43" s="23">
        <v>48.5</v>
      </c>
      <c r="O43" s="25">
        <f>3838/7540*100</f>
        <v>50.901856763925736</v>
      </c>
      <c r="P43" s="23">
        <v>49.1</v>
      </c>
      <c r="Q43" s="25">
        <v>50.804399681950699</v>
      </c>
      <c r="R43" s="23">
        <v>50.4</v>
      </c>
      <c r="S43" s="25">
        <v>52.212532517421252</v>
      </c>
      <c r="T43" s="23">
        <v>45.237746110881531</v>
      </c>
      <c r="U43" s="23">
        <v>47.1</v>
      </c>
    </row>
    <row r="44" spans="1:21" x14ac:dyDescent="0.25">
      <c r="A44" s="16" t="s">
        <v>43</v>
      </c>
      <c r="B44" s="17">
        <v>32.299999999999997</v>
      </c>
      <c r="C44" s="18">
        <v>34.200000000000003</v>
      </c>
      <c r="D44" s="19">
        <v>39.4</v>
      </c>
      <c r="E44" s="20">
        <v>40.4</v>
      </c>
      <c r="F44" s="21">
        <v>44.9</v>
      </c>
      <c r="G44" s="22">
        <v>46.2</v>
      </c>
      <c r="H44" s="23">
        <f>1201/2515*100</f>
        <v>47.753479125248511</v>
      </c>
      <c r="I44" s="25">
        <v>49</v>
      </c>
      <c r="J44" s="23">
        <v>40.1</v>
      </c>
      <c r="K44" s="25">
        <f>973/2390*100</f>
        <v>40.711297071129707</v>
      </c>
      <c r="L44" s="23">
        <v>46.9</v>
      </c>
      <c r="M44" s="25">
        <f>1090/2294*100</f>
        <v>47.515257192676543</v>
      </c>
      <c r="N44" s="23">
        <v>49.2</v>
      </c>
      <c r="O44" s="25">
        <f>1139/2208*100</f>
        <v>51.585144927536234</v>
      </c>
      <c r="P44" s="23">
        <v>48.6</v>
      </c>
      <c r="Q44" s="25">
        <v>50.217830675948797</v>
      </c>
      <c r="R44" s="23">
        <v>46.5</v>
      </c>
      <c r="S44" s="25">
        <v>47.814636850859358</v>
      </c>
      <c r="T44" s="21">
        <v>50.848819688598688</v>
      </c>
      <c r="U44" s="21" t="s">
        <v>7</v>
      </c>
    </row>
    <row r="45" spans="1:21" x14ac:dyDescent="0.25">
      <c r="A45" s="16" t="s">
        <v>44</v>
      </c>
      <c r="B45" s="17">
        <v>51.8</v>
      </c>
      <c r="C45" s="18">
        <v>55.5</v>
      </c>
      <c r="D45" s="19">
        <v>53.6</v>
      </c>
      <c r="E45" s="20">
        <v>56.3</v>
      </c>
      <c r="F45" s="21">
        <v>57.1</v>
      </c>
      <c r="G45" s="22">
        <v>59.7</v>
      </c>
      <c r="H45" s="23">
        <f>1359/2625*100</f>
        <v>51.771428571428565</v>
      </c>
      <c r="I45" s="25">
        <v>55.5</v>
      </c>
      <c r="J45" s="23">
        <v>47</v>
      </c>
      <c r="K45" s="25">
        <f>1163/2304*100</f>
        <v>50.477430555555557</v>
      </c>
      <c r="L45" s="23">
        <v>61.3</v>
      </c>
      <c r="M45" s="25">
        <f>1415/2176*100</f>
        <v>65.027573529411768</v>
      </c>
      <c r="N45" s="23">
        <v>53.9</v>
      </c>
      <c r="O45" s="25">
        <f>1157/2002*100</f>
        <v>57.792207792207797</v>
      </c>
      <c r="P45" s="23">
        <v>64.7</v>
      </c>
      <c r="Q45" s="25">
        <v>66.384459564743153</v>
      </c>
      <c r="R45" s="23">
        <v>62.2</v>
      </c>
      <c r="S45" s="25">
        <v>65.567010309278345</v>
      </c>
      <c r="T45" s="21">
        <v>53.440967533611229</v>
      </c>
      <c r="U45" s="21" t="s">
        <v>7</v>
      </c>
    </row>
    <row r="46" spans="1:21" x14ac:dyDescent="0.25">
      <c r="A46" s="16" t="s">
        <v>45</v>
      </c>
      <c r="B46" s="17">
        <v>38.299999999999997</v>
      </c>
      <c r="C46" s="18">
        <v>40</v>
      </c>
      <c r="D46" s="19">
        <v>42.6</v>
      </c>
      <c r="E46" s="20">
        <v>43.9</v>
      </c>
      <c r="F46" s="21">
        <v>46.6</v>
      </c>
      <c r="G46" s="22">
        <v>47.6</v>
      </c>
      <c r="H46" s="23">
        <f>3925/9404*100</f>
        <v>41.737558485750739</v>
      </c>
      <c r="I46" s="25">
        <v>43.2</v>
      </c>
      <c r="J46" s="23">
        <v>39.200000000000003</v>
      </c>
      <c r="K46" s="25">
        <f>3503/8694*100</f>
        <v>40.292155509546809</v>
      </c>
      <c r="L46" s="23">
        <v>42.8</v>
      </c>
      <c r="M46" s="25">
        <f>3854/8819*100</f>
        <v>43.701099897947614</v>
      </c>
      <c r="N46" s="23">
        <v>42</v>
      </c>
      <c r="O46" s="25">
        <f>3826/8668*100</f>
        <v>44.139363174896168</v>
      </c>
      <c r="P46" s="23">
        <v>46.1</v>
      </c>
      <c r="Q46" s="25">
        <v>47.654462242562921</v>
      </c>
      <c r="R46" s="23">
        <v>48.2</v>
      </c>
      <c r="S46" s="25">
        <v>50.098955926097098</v>
      </c>
      <c r="T46" s="23">
        <v>48.412098298676753</v>
      </c>
      <c r="U46" s="23">
        <v>46.8</v>
      </c>
    </row>
    <row r="47" spans="1:21" x14ac:dyDescent="0.25">
      <c r="A47" s="16" t="s">
        <v>46</v>
      </c>
      <c r="B47" s="17">
        <v>40.4</v>
      </c>
      <c r="C47" s="18">
        <v>43.3</v>
      </c>
      <c r="D47" s="19">
        <v>42.9</v>
      </c>
      <c r="E47" s="20">
        <v>46.7</v>
      </c>
      <c r="F47" s="21">
        <v>53.5</v>
      </c>
      <c r="G47" s="22">
        <v>58.8</v>
      </c>
      <c r="H47" s="23">
        <f>372/803*100</f>
        <v>46.326276463262765</v>
      </c>
      <c r="I47" s="25">
        <v>50.6</v>
      </c>
      <c r="J47" s="23">
        <v>48.5</v>
      </c>
      <c r="K47" s="25">
        <f>352/668*100</f>
        <v>52.694610778443121</v>
      </c>
      <c r="L47" s="23">
        <v>51.2</v>
      </c>
      <c r="M47" s="25">
        <f>373/684*100</f>
        <v>54.532163742690052</v>
      </c>
      <c r="N47" s="23">
        <v>53.4</v>
      </c>
      <c r="O47" s="25">
        <f>402/661*100</f>
        <v>60.816944024205746</v>
      </c>
      <c r="P47" s="23">
        <v>47.4</v>
      </c>
      <c r="Q47" s="25">
        <v>52.850701093334983</v>
      </c>
      <c r="R47" s="23">
        <v>55.4</v>
      </c>
      <c r="S47" s="25">
        <v>58.561236623067778</v>
      </c>
      <c r="T47" s="21">
        <v>56.231222208869127</v>
      </c>
      <c r="U47" s="21" t="s">
        <v>7</v>
      </c>
    </row>
    <row r="48" spans="1:21" x14ac:dyDescent="0.25">
      <c r="A48" s="16" t="s">
        <v>47</v>
      </c>
      <c r="B48" s="17">
        <v>41.3</v>
      </c>
      <c r="C48" s="18">
        <v>42.4</v>
      </c>
      <c r="D48" s="19">
        <v>49.2</v>
      </c>
      <c r="E48" s="20">
        <v>50.9</v>
      </c>
      <c r="F48" s="21">
        <v>43</v>
      </c>
      <c r="G48" s="22">
        <v>45.2</v>
      </c>
      <c r="H48" s="23">
        <f>1353/2967*100</f>
        <v>45.601617795753285</v>
      </c>
      <c r="I48" s="25">
        <v>46.6</v>
      </c>
      <c r="J48" s="23">
        <v>47.1</v>
      </c>
      <c r="K48" s="25">
        <f>1328/2793*100</f>
        <v>47.547440028643031</v>
      </c>
      <c r="L48" s="23">
        <v>45.4</v>
      </c>
      <c r="M48" s="25">
        <f>1217/2649*100</f>
        <v>45.941864854662136</v>
      </c>
      <c r="N48" s="23">
        <v>42.8</v>
      </c>
      <c r="O48" s="25">
        <f>1066/2430*100</f>
        <v>43.868312757201643</v>
      </c>
      <c r="P48" s="23">
        <v>41.3</v>
      </c>
      <c r="Q48" s="25">
        <v>42.40053278336341</v>
      </c>
      <c r="R48" s="23">
        <v>37.4</v>
      </c>
      <c r="S48" s="25">
        <v>38.169931555345762</v>
      </c>
      <c r="T48" s="21">
        <v>36.014511666753663</v>
      </c>
      <c r="U48" s="21" t="s">
        <v>7</v>
      </c>
    </row>
    <row r="49" spans="1:21" x14ac:dyDescent="0.25">
      <c r="A49" s="16" t="s">
        <v>48</v>
      </c>
      <c r="B49" s="17">
        <v>43.7</v>
      </c>
      <c r="C49" s="18">
        <v>44.1</v>
      </c>
      <c r="D49" s="19">
        <v>53.5</v>
      </c>
      <c r="E49" s="20">
        <v>54.9</v>
      </c>
      <c r="F49" s="21">
        <v>62.1</v>
      </c>
      <c r="G49" s="22">
        <v>63</v>
      </c>
      <c r="H49" s="23">
        <f>375/573*100</f>
        <v>65.445026178010465</v>
      </c>
      <c r="I49" s="25">
        <v>66.099999999999994</v>
      </c>
      <c r="J49" s="23">
        <v>50.7</v>
      </c>
      <c r="K49" s="25">
        <f>268/527*100</f>
        <v>50.853889943074002</v>
      </c>
      <c r="L49" s="23">
        <v>64</v>
      </c>
      <c r="M49" s="25">
        <f>317/494*100</f>
        <v>64.170040485829958</v>
      </c>
      <c r="N49" s="23">
        <v>57.2</v>
      </c>
      <c r="O49" s="25">
        <f>282/474*100</f>
        <v>59.493670886075947</v>
      </c>
      <c r="P49" s="23">
        <v>65.5</v>
      </c>
      <c r="Q49" s="25">
        <v>66.313324294342422</v>
      </c>
      <c r="R49" s="23">
        <v>62.9</v>
      </c>
      <c r="S49" s="25">
        <v>63.84279283255362</v>
      </c>
      <c r="T49" s="21">
        <v>62.674245207581421</v>
      </c>
      <c r="U49" s="21" t="s">
        <v>7</v>
      </c>
    </row>
    <row r="50" spans="1:21" x14ac:dyDescent="0.25">
      <c r="A50" s="16" t="s">
        <v>49</v>
      </c>
      <c r="B50" s="17">
        <v>35.4</v>
      </c>
      <c r="C50" s="18">
        <v>36.6</v>
      </c>
      <c r="D50" s="19">
        <v>36.1</v>
      </c>
      <c r="E50" s="20">
        <v>37.700000000000003</v>
      </c>
      <c r="F50" s="21">
        <v>43.8</v>
      </c>
      <c r="G50" s="22">
        <v>45.4</v>
      </c>
      <c r="H50" s="23">
        <f>1897/4284*100</f>
        <v>44.281045751633982</v>
      </c>
      <c r="I50" s="25">
        <v>46.5</v>
      </c>
      <c r="J50" s="23">
        <v>36.200000000000003</v>
      </c>
      <c r="K50" s="25">
        <f>1478/4050*100</f>
        <v>36.493827160493822</v>
      </c>
      <c r="L50" s="23">
        <v>43.1</v>
      </c>
      <c r="M50" s="25">
        <f>1662/3817*100</f>
        <v>43.542048729368616</v>
      </c>
      <c r="N50" s="23">
        <v>30.5</v>
      </c>
      <c r="O50" s="25">
        <f>1108/3588*100</f>
        <v>30.880713489409139</v>
      </c>
      <c r="P50" s="23">
        <v>44</v>
      </c>
      <c r="Q50" s="25">
        <v>44.949051300070273</v>
      </c>
      <c r="R50" s="23">
        <v>47.2</v>
      </c>
      <c r="S50" s="25">
        <v>47.911458015732663</v>
      </c>
      <c r="T50" s="23">
        <v>44.570868072584602</v>
      </c>
      <c r="U50" s="21" t="s">
        <v>7</v>
      </c>
    </row>
    <row r="51" spans="1:21" x14ac:dyDescent="0.25">
      <c r="A51" s="16" t="s">
        <v>50</v>
      </c>
      <c r="B51" s="17">
        <v>30.2</v>
      </c>
      <c r="C51" s="18">
        <v>34.6</v>
      </c>
      <c r="D51" s="19">
        <v>31.4</v>
      </c>
      <c r="E51" s="20">
        <v>36.4</v>
      </c>
      <c r="F51" s="21">
        <v>33.5</v>
      </c>
      <c r="G51" s="22">
        <v>38.4</v>
      </c>
      <c r="H51" s="23">
        <f>5283/14996*100</f>
        <v>35.229394505201391</v>
      </c>
      <c r="I51" s="25">
        <v>40.700000000000003</v>
      </c>
      <c r="J51" s="23">
        <v>32.9</v>
      </c>
      <c r="K51" s="25">
        <f>4636/12528*100</f>
        <v>37.005108556832695</v>
      </c>
      <c r="L51" s="23">
        <v>37.799999999999997</v>
      </c>
      <c r="M51" s="25">
        <f>4964/11694*100</f>
        <v>42.449119206430645</v>
      </c>
      <c r="N51" s="23">
        <v>41.4</v>
      </c>
      <c r="O51" s="25">
        <f>4977/10889*100</f>
        <v>45.706676462485078</v>
      </c>
      <c r="P51" s="23">
        <v>37.4</v>
      </c>
      <c r="Q51" s="25">
        <v>41.328516377649322</v>
      </c>
      <c r="R51" s="23">
        <v>39.700000000000003</v>
      </c>
      <c r="S51" s="25">
        <v>42.551103843008988</v>
      </c>
      <c r="T51" s="23">
        <v>34.349413712549044</v>
      </c>
      <c r="U51" s="23">
        <v>28.3</v>
      </c>
    </row>
    <row r="52" spans="1:21" x14ac:dyDescent="0.25">
      <c r="A52" s="16" t="s">
        <v>51</v>
      </c>
      <c r="B52" s="17">
        <v>34.700000000000003</v>
      </c>
      <c r="C52" s="18">
        <v>36.5</v>
      </c>
      <c r="D52" s="19">
        <v>36</v>
      </c>
      <c r="E52" s="20">
        <v>38.6</v>
      </c>
      <c r="F52" s="21">
        <v>34.4</v>
      </c>
      <c r="G52" s="22">
        <v>36.700000000000003</v>
      </c>
      <c r="H52" s="23">
        <f>631/1522*100</f>
        <v>41.458607095926411</v>
      </c>
      <c r="I52" s="25">
        <v>43.8</v>
      </c>
      <c r="J52" s="23">
        <v>39.9</v>
      </c>
      <c r="K52" s="25">
        <f>562/1335*100</f>
        <v>42.09737827715356</v>
      </c>
      <c r="L52" s="23">
        <v>44.2</v>
      </c>
      <c r="M52" s="25">
        <f>544/1169*100</f>
        <v>46.535500427715995</v>
      </c>
      <c r="N52" s="23">
        <v>47.1</v>
      </c>
      <c r="O52" s="25">
        <f>501/1027*100</f>
        <v>48.782862706913335</v>
      </c>
      <c r="P52" s="23">
        <v>49.4</v>
      </c>
      <c r="Q52" s="25">
        <v>51.358701126039932</v>
      </c>
      <c r="R52" s="23">
        <v>61.1</v>
      </c>
      <c r="S52" s="25">
        <v>63.224682489326689</v>
      </c>
      <c r="T52" s="21">
        <v>52.318701478574638</v>
      </c>
      <c r="U52" s="21" t="s">
        <v>7</v>
      </c>
    </row>
    <row r="53" spans="1:21" x14ac:dyDescent="0.25">
      <c r="A53" s="16" t="s">
        <v>52</v>
      </c>
      <c r="B53" s="17">
        <v>41.6</v>
      </c>
      <c r="C53" s="18">
        <v>42.5</v>
      </c>
      <c r="D53" s="19">
        <v>54</v>
      </c>
      <c r="E53" s="20">
        <v>55</v>
      </c>
      <c r="F53" s="21">
        <v>55.5</v>
      </c>
      <c r="G53" s="22">
        <v>56.9</v>
      </c>
      <c r="H53" s="23">
        <f>256/490*100</f>
        <v>52.244897959183675</v>
      </c>
      <c r="I53" s="25">
        <v>53</v>
      </c>
      <c r="J53" s="23">
        <v>51.6</v>
      </c>
      <c r="K53" s="25">
        <f>229/434*100</f>
        <v>52.764976958525345</v>
      </c>
      <c r="L53" s="23">
        <v>49</v>
      </c>
      <c r="M53" s="25">
        <f>212/427*100</f>
        <v>49.648711943793913</v>
      </c>
      <c r="N53" s="23">
        <v>55</v>
      </c>
      <c r="O53" s="25">
        <f>234/406*100</f>
        <v>57.635467980295566</v>
      </c>
      <c r="P53" s="23">
        <v>58.5</v>
      </c>
      <c r="Q53" s="25">
        <v>60.24252010017134</v>
      </c>
      <c r="R53" s="23">
        <v>50.1</v>
      </c>
      <c r="S53" s="25">
        <v>53.226668166352667</v>
      </c>
      <c r="T53" s="21">
        <v>37.008226037195996</v>
      </c>
      <c r="U53" s="21" t="s">
        <v>7</v>
      </c>
    </row>
    <row r="54" spans="1:21" x14ac:dyDescent="0.25">
      <c r="A54" s="16" t="s">
        <v>53</v>
      </c>
      <c r="B54" s="17">
        <v>39.4</v>
      </c>
      <c r="C54" s="18">
        <v>41.7</v>
      </c>
      <c r="D54" s="19">
        <v>38.4</v>
      </c>
      <c r="E54" s="20">
        <v>40.700000000000003</v>
      </c>
      <c r="F54" s="21">
        <v>43.6</v>
      </c>
      <c r="G54" s="22">
        <v>47.5</v>
      </c>
      <c r="H54" s="23">
        <f>1808/5194*100</f>
        <v>34.809395456295725</v>
      </c>
      <c r="I54" s="25">
        <v>37.200000000000003</v>
      </c>
      <c r="J54" s="23">
        <v>30.1</v>
      </c>
      <c r="K54" s="25">
        <f>1496/4786*100</f>
        <v>31.257835353113244</v>
      </c>
      <c r="L54" s="23">
        <v>46.3</v>
      </c>
      <c r="M54" s="25">
        <f>2205/4557*100</f>
        <v>48.387096774193552</v>
      </c>
      <c r="N54" s="23">
        <v>37.4</v>
      </c>
      <c r="O54" s="25">
        <f>1677/4208*100</f>
        <v>39.852661596958178</v>
      </c>
      <c r="P54" s="23">
        <v>37.5</v>
      </c>
      <c r="Q54" s="25">
        <v>39.148893156777518</v>
      </c>
      <c r="R54" s="23">
        <v>45.6</v>
      </c>
      <c r="S54" s="25">
        <v>47.26545727780163</v>
      </c>
      <c r="T54" s="23">
        <v>42.506018699960812</v>
      </c>
      <c r="U54" s="23">
        <v>33.200000000000003</v>
      </c>
    </row>
    <row r="55" spans="1:21" x14ac:dyDescent="0.25">
      <c r="A55" s="16" t="s">
        <v>54</v>
      </c>
      <c r="B55" s="17">
        <v>44.8</v>
      </c>
      <c r="C55" s="18">
        <v>50</v>
      </c>
      <c r="D55" s="19">
        <v>52.8</v>
      </c>
      <c r="E55" s="20">
        <v>58.1</v>
      </c>
      <c r="F55" s="21">
        <v>49.4</v>
      </c>
      <c r="G55" s="22">
        <v>53.3</v>
      </c>
      <c r="H55" s="23">
        <f>2097/4456*100</f>
        <v>47.06014362657092</v>
      </c>
      <c r="I55" s="25">
        <v>50.7</v>
      </c>
      <c r="J55" s="23">
        <v>45.6</v>
      </c>
      <c r="K55" s="25">
        <f>1905/3895*100</f>
        <v>48.90885750962773</v>
      </c>
      <c r="L55" s="23">
        <v>46.5</v>
      </c>
      <c r="M55" s="25">
        <f>1826/3709*100</f>
        <v>49.231598813696415</v>
      </c>
      <c r="N55" s="23">
        <v>43.3</v>
      </c>
      <c r="O55" s="25">
        <f>1540/3324*100</f>
        <v>46.329723225030087</v>
      </c>
      <c r="P55" s="23">
        <v>48.3</v>
      </c>
      <c r="Q55" s="25">
        <v>51.085517606566057</v>
      </c>
      <c r="R55" s="23">
        <v>50.3</v>
      </c>
      <c r="S55" s="25">
        <v>54.882287598093669</v>
      </c>
      <c r="T55" s="23">
        <v>40.478819910073362</v>
      </c>
      <c r="U55" s="21" t="s">
        <v>7</v>
      </c>
    </row>
    <row r="56" spans="1:21" x14ac:dyDescent="0.25">
      <c r="A56" s="16" t="s">
        <v>55</v>
      </c>
      <c r="B56" s="17">
        <v>33.4</v>
      </c>
      <c r="C56" s="18">
        <v>33.6</v>
      </c>
      <c r="D56" s="19">
        <v>40.9</v>
      </c>
      <c r="E56" s="20">
        <v>41</v>
      </c>
      <c r="F56" s="21">
        <v>36.799999999999997</v>
      </c>
      <c r="G56" s="22">
        <v>36.9</v>
      </c>
      <c r="H56" s="23">
        <f>507/1379*100</f>
        <v>36.765772298767224</v>
      </c>
      <c r="I56" s="25">
        <v>36.9</v>
      </c>
      <c r="J56" s="23">
        <v>35.9</v>
      </c>
      <c r="K56" s="25">
        <f>503/1399*100</f>
        <v>35.954253037884207</v>
      </c>
      <c r="L56" s="23">
        <v>34</v>
      </c>
      <c r="M56" s="25">
        <f>475/1390*100</f>
        <v>34.172661870503596</v>
      </c>
      <c r="N56" s="23">
        <v>34.700000000000003</v>
      </c>
      <c r="O56" s="25">
        <f>477/1340*100</f>
        <v>35.597014925373131</v>
      </c>
      <c r="P56" s="23">
        <v>39.200000000000003</v>
      </c>
      <c r="Q56" s="25">
        <v>40.180801626488524</v>
      </c>
      <c r="R56" s="23">
        <v>47.4</v>
      </c>
      <c r="S56" s="25">
        <v>48.130585715340864</v>
      </c>
      <c r="T56" s="21">
        <v>40.625377187688592</v>
      </c>
      <c r="U56" s="21" t="s">
        <v>7</v>
      </c>
    </row>
    <row r="57" spans="1:21" x14ac:dyDescent="0.25">
      <c r="A57" s="16" t="s">
        <v>56</v>
      </c>
      <c r="B57" s="17">
        <v>53.8</v>
      </c>
      <c r="C57" s="18">
        <v>55.4</v>
      </c>
      <c r="D57" s="19">
        <v>52.6</v>
      </c>
      <c r="E57" s="20">
        <v>54.3</v>
      </c>
      <c r="F57" s="21">
        <v>56</v>
      </c>
      <c r="G57" s="22">
        <v>57.8</v>
      </c>
      <c r="H57" s="23">
        <f>1999/4119*100</f>
        <v>48.531196892449621</v>
      </c>
      <c r="I57" s="25">
        <v>50.3</v>
      </c>
      <c r="J57" s="23">
        <v>50.3</v>
      </c>
      <c r="K57" s="25">
        <f>1905/3739*100</f>
        <v>50.949451725060179</v>
      </c>
      <c r="L57" s="23">
        <v>49.7</v>
      </c>
      <c r="M57" s="25">
        <f>1808/3602*100</f>
        <v>50.194336479733479</v>
      </c>
      <c r="N57" s="23">
        <v>48</v>
      </c>
      <c r="O57" s="25">
        <f>1723/3490*100</f>
        <v>49.369627507163322</v>
      </c>
      <c r="P57" s="23">
        <v>51.2</v>
      </c>
      <c r="Q57" s="25">
        <v>52.173526008130324</v>
      </c>
      <c r="R57" s="23">
        <v>54.2</v>
      </c>
      <c r="S57" s="25">
        <v>55.505867523034901</v>
      </c>
      <c r="T57" s="23">
        <v>58.272845710031632</v>
      </c>
      <c r="U57" s="21" t="s">
        <v>7</v>
      </c>
    </row>
    <row r="58" spans="1:21" x14ac:dyDescent="0.25">
      <c r="A58" s="26" t="s">
        <v>57</v>
      </c>
      <c r="B58" s="27">
        <v>39.1</v>
      </c>
      <c r="C58" s="28">
        <v>40.299999999999997</v>
      </c>
      <c r="D58" s="29">
        <v>46.1</v>
      </c>
      <c r="E58" s="30">
        <v>47.2</v>
      </c>
      <c r="F58" s="31">
        <v>51.4</v>
      </c>
      <c r="G58" s="32">
        <v>52.1</v>
      </c>
      <c r="H58" s="33">
        <f>198/370*100</f>
        <v>53.513513513513509</v>
      </c>
      <c r="I58" s="34">
        <v>53.9</v>
      </c>
      <c r="J58" s="33">
        <v>54.3</v>
      </c>
      <c r="K58" s="34">
        <f>188/341*100</f>
        <v>55.131964809384158</v>
      </c>
      <c r="L58" s="33">
        <v>63.5</v>
      </c>
      <c r="M58" s="34">
        <f>212/331*100</f>
        <v>64.048338368580062</v>
      </c>
      <c r="N58" s="33">
        <v>53.5</v>
      </c>
      <c r="O58" s="34">
        <f>175/317*100</f>
        <v>55.205047318611989</v>
      </c>
      <c r="P58" s="33">
        <v>53.5</v>
      </c>
      <c r="Q58" s="34">
        <v>54.767323471282261</v>
      </c>
      <c r="R58" s="33">
        <v>60</v>
      </c>
      <c r="S58" s="34">
        <v>61.826448965130353</v>
      </c>
      <c r="T58" s="31">
        <v>59.690169803963279</v>
      </c>
      <c r="U58" s="31" t="s">
        <v>7</v>
      </c>
    </row>
    <row r="59" spans="1:21" x14ac:dyDescent="0.25">
      <c r="A59" s="3" t="s">
        <v>58</v>
      </c>
      <c r="B59" s="3"/>
      <c r="D59" s="3"/>
    </row>
    <row r="60" spans="1:21" x14ac:dyDescent="0.25">
      <c r="A60" s="3" t="s">
        <v>59</v>
      </c>
      <c r="B60" s="3"/>
      <c r="D60" s="3"/>
    </row>
    <row r="61" spans="1:21" x14ac:dyDescent="0.25">
      <c r="A61" s="3" t="s">
        <v>60</v>
      </c>
      <c r="B61" s="3"/>
      <c r="D61" s="3"/>
    </row>
    <row r="62" spans="1:21" x14ac:dyDescent="0.25">
      <c r="A62" s="3" t="s">
        <v>61</v>
      </c>
      <c r="C62" s="2"/>
      <c r="E62" s="2"/>
      <c r="F62" s="2"/>
      <c r="G62" s="2"/>
      <c r="H62" s="2"/>
      <c r="I62" s="2"/>
      <c r="J62" s="2"/>
      <c r="K62" s="2"/>
    </row>
    <row r="63" spans="1:21" x14ac:dyDescent="0.25">
      <c r="C63" s="2"/>
      <c r="E63" s="2"/>
      <c r="F63" s="2"/>
      <c r="G63" s="2"/>
      <c r="H63" s="2"/>
      <c r="I63" s="2"/>
      <c r="J63" s="2"/>
      <c r="K63" s="2"/>
      <c r="L63" s="2"/>
      <c r="M63" s="2"/>
    </row>
    <row r="64" spans="1:21" x14ac:dyDescent="0.25">
      <c r="C64" s="2"/>
      <c r="E64" s="2"/>
      <c r="F64" s="2"/>
      <c r="G64" s="2"/>
      <c r="H64" s="2"/>
      <c r="I64" s="2"/>
      <c r="J64" s="2"/>
      <c r="K64" s="2"/>
      <c r="L64" s="2"/>
      <c r="M64" s="2"/>
    </row>
    <row r="65" spans="3:13" x14ac:dyDescent="0.25">
      <c r="C65" s="2"/>
      <c r="E65" s="2"/>
      <c r="F65" s="2"/>
      <c r="G65" s="2"/>
      <c r="H65" s="2"/>
      <c r="I65" s="2"/>
      <c r="J65" s="2"/>
      <c r="K65" s="2"/>
      <c r="L65" s="2"/>
      <c r="M65" s="2"/>
    </row>
    <row r="66" spans="3:13" x14ac:dyDescent="0.25">
      <c r="C66" s="2"/>
      <c r="E66" s="2"/>
      <c r="F66" s="2"/>
      <c r="G66" s="2"/>
      <c r="H66" s="2"/>
      <c r="I66" s="2"/>
      <c r="J66" s="2"/>
      <c r="K66" s="2"/>
      <c r="L66" s="2"/>
      <c r="M66" s="2"/>
    </row>
    <row r="67" spans="3:13" x14ac:dyDescent="0.25">
      <c r="C67" s="2"/>
      <c r="E67" s="2"/>
      <c r="F67" s="2"/>
      <c r="G67" s="2"/>
      <c r="H67" s="2"/>
      <c r="I67" s="2"/>
      <c r="J67" s="2"/>
      <c r="K67" s="2"/>
      <c r="L67" s="2"/>
      <c r="M67" s="2"/>
    </row>
    <row r="68" spans="3:13" x14ac:dyDescent="0.25">
      <c r="C68" s="2"/>
      <c r="E68" s="2"/>
      <c r="F68" s="2"/>
      <c r="G68" s="2"/>
      <c r="H68" s="2"/>
      <c r="I68" s="2"/>
      <c r="J68" s="2"/>
      <c r="K68" s="2"/>
      <c r="L68" s="2"/>
      <c r="M68" s="2"/>
    </row>
    <row r="69" spans="3:13" x14ac:dyDescent="0.25">
      <c r="C69" s="2"/>
      <c r="E69" s="2"/>
      <c r="F69" s="2"/>
      <c r="G69" s="2"/>
      <c r="H69" s="2"/>
      <c r="I69" s="2"/>
      <c r="J69" s="2"/>
      <c r="K69" s="2"/>
      <c r="L69" s="2"/>
      <c r="M69" s="2"/>
    </row>
    <row r="70" spans="3:13" x14ac:dyDescent="0.25">
      <c r="C70" s="2"/>
      <c r="E70" s="2"/>
      <c r="F70" s="2"/>
      <c r="G70" s="2"/>
      <c r="H70" s="2"/>
      <c r="I70" s="2"/>
      <c r="J70" s="2"/>
      <c r="K70" s="2"/>
      <c r="L70" s="2"/>
      <c r="M70" s="2"/>
    </row>
    <row r="71" spans="3:13" x14ac:dyDescent="0.25">
      <c r="C71" s="2"/>
      <c r="E71" s="2"/>
      <c r="F71" s="2"/>
      <c r="G71" s="2"/>
      <c r="H71" s="2"/>
      <c r="I71" s="2"/>
      <c r="J71" s="2"/>
      <c r="K71" s="2"/>
      <c r="L71" s="2"/>
      <c r="M71" s="2"/>
    </row>
    <row r="72" spans="3:13" x14ac:dyDescent="0.25">
      <c r="C72" s="2"/>
      <c r="E72" s="2"/>
      <c r="F72" s="2"/>
      <c r="G72" s="2"/>
      <c r="H72" s="2"/>
      <c r="I72" s="2"/>
      <c r="J72" s="2"/>
      <c r="K72" s="2"/>
      <c r="L72" s="2"/>
      <c r="M72" s="2"/>
    </row>
    <row r="73" spans="3:13" x14ac:dyDescent="0.25">
      <c r="C73" s="2"/>
      <c r="E73" s="2"/>
      <c r="F73" s="2"/>
      <c r="G73" s="2"/>
      <c r="H73" s="2"/>
      <c r="I73" s="2"/>
      <c r="J73" s="2"/>
      <c r="K73" s="2"/>
      <c r="L73" s="2"/>
      <c r="M73" s="2"/>
    </row>
    <row r="74" spans="3:13" x14ac:dyDescent="0.25">
      <c r="C74" s="2"/>
      <c r="E74" s="2"/>
      <c r="F74" s="2"/>
      <c r="G74" s="2"/>
      <c r="H74" s="2"/>
      <c r="I74" s="2"/>
      <c r="J74" s="2"/>
      <c r="K74" s="2"/>
      <c r="L74" s="2"/>
      <c r="M74" s="2"/>
    </row>
    <row r="75" spans="3:13" x14ac:dyDescent="0.25">
      <c r="C75" s="2"/>
      <c r="E75" s="2"/>
      <c r="F75" s="2"/>
      <c r="G75" s="2"/>
      <c r="H75" s="2"/>
      <c r="I75" s="2"/>
      <c r="J75" s="2"/>
      <c r="K75" s="2"/>
      <c r="L75" s="2"/>
      <c r="M75" s="2"/>
    </row>
    <row r="76" spans="3:13" x14ac:dyDescent="0.25">
      <c r="C76" s="2"/>
      <c r="E76" s="2"/>
      <c r="F76" s="2"/>
      <c r="G76" s="2"/>
      <c r="H76" s="2"/>
      <c r="I76" s="2"/>
      <c r="J76" s="2"/>
      <c r="K76" s="2"/>
      <c r="L76" s="2"/>
      <c r="M76" s="2"/>
    </row>
    <row r="77" spans="3:13" x14ac:dyDescent="0.25">
      <c r="C77" s="2"/>
      <c r="E77" s="2"/>
      <c r="F77" s="2"/>
      <c r="G77" s="2"/>
      <c r="H77" s="2"/>
      <c r="I77" s="2"/>
      <c r="J77" s="2"/>
      <c r="K77" s="2"/>
      <c r="L77" s="2"/>
      <c r="M77" s="2"/>
    </row>
    <row r="78" spans="3:13" x14ac:dyDescent="0.25">
      <c r="C78" s="2"/>
      <c r="E78" s="2"/>
      <c r="F78" s="2"/>
      <c r="G78" s="2"/>
      <c r="H78" s="2"/>
      <c r="I78" s="2"/>
      <c r="J78" s="2"/>
      <c r="K78" s="2"/>
      <c r="L78" s="2"/>
      <c r="M78" s="2"/>
    </row>
    <row r="79" spans="3:13" x14ac:dyDescent="0.25">
      <c r="C79" s="2"/>
      <c r="E79" s="2"/>
      <c r="F79" s="2"/>
      <c r="G79" s="2"/>
      <c r="H79" s="2"/>
      <c r="I79" s="2"/>
      <c r="J79" s="2"/>
      <c r="K79" s="2"/>
      <c r="L79" s="2"/>
      <c r="M79" s="2"/>
    </row>
    <row r="80" spans="3:13" x14ac:dyDescent="0.25">
      <c r="C80" s="2"/>
      <c r="E80" s="2"/>
      <c r="F80" s="2"/>
      <c r="G80" s="2"/>
      <c r="H80" s="2"/>
      <c r="I80" s="2"/>
      <c r="J80" s="2"/>
      <c r="K80" s="2"/>
      <c r="L80" s="2"/>
      <c r="M80" s="2"/>
    </row>
    <row r="81" spans="3:13" x14ac:dyDescent="0.25">
      <c r="C81" s="2"/>
      <c r="E81" s="2"/>
      <c r="F81" s="2"/>
      <c r="G81" s="2"/>
      <c r="H81" s="2"/>
      <c r="I81" s="2"/>
      <c r="J81" s="2"/>
      <c r="K81" s="2"/>
      <c r="L81" s="2"/>
      <c r="M81" s="2"/>
    </row>
    <row r="82" spans="3:13" x14ac:dyDescent="0.25">
      <c r="C82" s="2"/>
      <c r="E82" s="2"/>
      <c r="F82" s="2"/>
      <c r="G82" s="2"/>
      <c r="H82" s="2"/>
      <c r="I82" s="2"/>
      <c r="J82" s="2"/>
      <c r="K82" s="2"/>
      <c r="L82" s="2"/>
      <c r="M82" s="2"/>
    </row>
    <row r="83" spans="3:13" x14ac:dyDescent="0.25">
      <c r="C83" s="2"/>
      <c r="E83" s="2"/>
      <c r="F83" s="2"/>
      <c r="G83" s="2"/>
      <c r="H83" s="2"/>
      <c r="I83" s="2"/>
      <c r="J83" s="2"/>
      <c r="K83" s="2"/>
      <c r="L83" s="2"/>
      <c r="M83" s="2"/>
    </row>
    <row r="84" spans="3:13" x14ac:dyDescent="0.25">
      <c r="C84" s="2"/>
      <c r="E84" s="2"/>
      <c r="F84" s="2"/>
      <c r="G84" s="2"/>
      <c r="H84" s="2"/>
      <c r="I84" s="2"/>
      <c r="J84" s="2"/>
      <c r="K84" s="2"/>
      <c r="L84" s="2"/>
      <c r="M84" s="2"/>
    </row>
    <row r="85" spans="3:13" x14ac:dyDescent="0.25">
      <c r="C85" s="2"/>
      <c r="E85" s="2"/>
      <c r="F85" s="2"/>
      <c r="G85" s="2"/>
      <c r="H85" s="2"/>
      <c r="I85" s="2"/>
      <c r="J85" s="2"/>
      <c r="K85" s="2"/>
      <c r="L85" s="2"/>
      <c r="M85" s="2"/>
    </row>
    <row r="86" spans="3:13" x14ac:dyDescent="0.25">
      <c r="C86" s="2"/>
      <c r="E86" s="2"/>
      <c r="F86" s="2"/>
      <c r="G86" s="2"/>
      <c r="H86" s="2"/>
      <c r="I86" s="2"/>
      <c r="J86" s="2"/>
      <c r="K86" s="2"/>
      <c r="L86" s="2"/>
      <c r="M86" s="2"/>
    </row>
    <row r="87" spans="3:13" x14ac:dyDescent="0.25">
      <c r="C87" s="2"/>
      <c r="E87" s="2"/>
      <c r="F87" s="2"/>
      <c r="G87" s="2"/>
      <c r="H87" s="2"/>
      <c r="I87" s="2"/>
      <c r="J87" s="2"/>
      <c r="K87" s="2"/>
      <c r="L87" s="2"/>
      <c r="M87" s="2"/>
    </row>
    <row r="88" spans="3:13" x14ac:dyDescent="0.25">
      <c r="C88" s="2"/>
      <c r="E88" s="2"/>
      <c r="F88" s="2"/>
      <c r="G88" s="2"/>
      <c r="H88" s="2"/>
      <c r="I88" s="2"/>
      <c r="J88" s="2"/>
      <c r="K88" s="2"/>
      <c r="L88" s="2"/>
      <c r="M88" s="2"/>
    </row>
    <row r="89" spans="3:13" x14ac:dyDescent="0.25">
      <c r="C89" s="2"/>
      <c r="E89" s="2"/>
      <c r="F89" s="2"/>
      <c r="G89" s="2"/>
      <c r="H89" s="2"/>
      <c r="I89" s="2"/>
      <c r="J89" s="2"/>
      <c r="K89" s="2"/>
      <c r="L89" s="2"/>
      <c r="M89" s="2"/>
    </row>
    <row r="90" spans="3:13" x14ac:dyDescent="0.25">
      <c r="C90" s="2"/>
      <c r="E90" s="2"/>
      <c r="F90" s="2"/>
      <c r="G90" s="2"/>
      <c r="H90" s="2"/>
      <c r="I90" s="2"/>
      <c r="J90" s="2"/>
      <c r="K90" s="2"/>
      <c r="L90" s="2"/>
      <c r="M90" s="2"/>
    </row>
    <row r="91" spans="3:13" x14ac:dyDescent="0.25">
      <c r="C91" s="2"/>
      <c r="E91" s="2"/>
      <c r="F91" s="2"/>
      <c r="G91" s="2"/>
      <c r="H91" s="2"/>
      <c r="I91" s="2"/>
      <c r="J91" s="2"/>
      <c r="K91" s="2"/>
      <c r="L91" s="2"/>
      <c r="M91" s="2"/>
    </row>
    <row r="92" spans="3:13" x14ac:dyDescent="0.25">
      <c r="C92" s="2"/>
      <c r="E92" s="2"/>
      <c r="F92" s="2"/>
      <c r="G92" s="2"/>
      <c r="H92" s="2"/>
      <c r="I92" s="2"/>
      <c r="J92" s="2"/>
      <c r="K92" s="2"/>
      <c r="L92" s="2"/>
      <c r="M92" s="2"/>
    </row>
    <row r="93" spans="3:13" x14ac:dyDescent="0.25">
      <c r="C93" s="2"/>
      <c r="E93" s="2"/>
      <c r="F93" s="2"/>
      <c r="G93" s="2"/>
      <c r="H93" s="2"/>
      <c r="I93" s="2"/>
      <c r="J93" s="2"/>
      <c r="K93" s="2"/>
      <c r="L93" s="2"/>
      <c r="M93" s="2"/>
    </row>
    <row r="94" spans="3:13" x14ac:dyDescent="0.25">
      <c r="C94" s="2"/>
      <c r="E94" s="2"/>
      <c r="F94" s="2"/>
      <c r="G94" s="2"/>
      <c r="H94" s="2"/>
      <c r="I94" s="2"/>
      <c r="J94" s="2"/>
      <c r="K94" s="2"/>
      <c r="L94" s="2"/>
      <c r="M94" s="2"/>
    </row>
    <row r="95" spans="3:13" x14ac:dyDescent="0.25">
      <c r="C95" s="2"/>
      <c r="E95" s="2"/>
      <c r="F95" s="2"/>
      <c r="G95" s="2"/>
      <c r="H95" s="2"/>
      <c r="I95" s="2"/>
      <c r="J95" s="2"/>
      <c r="K95" s="2"/>
      <c r="L95" s="2"/>
      <c r="M95" s="2"/>
    </row>
    <row r="96" spans="3:13" x14ac:dyDescent="0.25">
      <c r="C96" s="2"/>
      <c r="E96" s="2"/>
      <c r="F96" s="2"/>
      <c r="G96" s="2"/>
      <c r="H96" s="2"/>
      <c r="I96" s="2"/>
      <c r="J96" s="2"/>
      <c r="K96" s="2"/>
      <c r="L96" s="2"/>
      <c r="M96" s="2"/>
    </row>
    <row r="97" spans="3:13" x14ac:dyDescent="0.25">
      <c r="C97" s="2"/>
      <c r="E97" s="2"/>
      <c r="F97" s="2"/>
      <c r="G97" s="2"/>
      <c r="H97" s="2"/>
      <c r="I97" s="2"/>
      <c r="J97" s="2"/>
      <c r="K97" s="2"/>
      <c r="L97" s="2"/>
      <c r="M97" s="2"/>
    </row>
    <row r="98" spans="3:13" x14ac:dyDescent="0.25">
      <c r="C98" s="2"/>
      <c r="E98" s="2"/>
      <c r="F98" s="2"/>
      <c r="G98" s="2"/>
      <c r="H98" s="2"/>
      <c r="I98" s="2"/>
      <c r="J98" s="2"/>
      <c r="K98" s="2"/>
      <c r="L98" s="2"/>
      <c r="M98" s="2"/>
    </row>
    <row r="99" spans="3:13" x14ac:dyDescent="0.25">
      <c r="C99" s="2"/>
      <c r="E99" s="2"/>
      <c r="F99" s="2"/>
      <c r="G99" s="2"/>
      <c r="H99" s="2"/>
      <c r="I99" s="2"/>
      <c r="J99" s="2"/>
      <c r="K99" s="2"/>
      <c r="L99" s="2"/>
      <c r="M99" s="2"/>
    </row>
    <row r="100" spans="3:13" x14ac:dyDescent="0.25">
      <c r="C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3:13" x14ac:dyDescent="0.25">
      <c r="C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3:13" x14ac:dyDescent="0.25">
      <c r="C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3:13" x14ac:dyDescent="0.25">
      <c r="C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3:13" x14ac:dyDescent="0.25">
      <c r="C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3:13" x14ac:dyDescent="0.25">
      <c r="C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3:13" x14ac:dyDescent="0.25">
      <c r="C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3:13" x14ac:dyDescent="0.25">
      <c r="C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3:13" x14ac:dyDescent="0.25">
      <c r="C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3:13" x14ac:dyDescent="0.25">
      <c r="C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3:13" x14ac:dyDescent="0.25">
      <c r="C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3:13" x14ac:dyDescent="0.25">
      <c r="C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3:13" x14ac:dyDescent="0.25">
      <c r="C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3:13" x14ac:dyDescent="0.25">
      <c r="C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3:13" x14ac:dyDescent="0.25">
      <c r="C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3:13" x14ac:dyDescent="0.25">
      <c r="C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3:13" x14ac:dyDescent="0.25">
      <c r="C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3:13" x14ac:dyDescent="0.25">
      <c r="C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3:13" x14ac:dyDescent="0.25">
      <c r="C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3:13" x14ac:dyDescent="0.25">
      <c r="C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3:13" x14ac:dyDescent="0.25">
      <c r="C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3:13" x14ac:dyDescent="0.25">
      <c r="C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3:13" x14ac:dyDescent="0.25">
      <c r="C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3:13" x14ac:dyDescent="0.25">
      <c r="C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3:13" x14ac:dyDescent="0.25">
      <c r="C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3:13" x14ac:dyDescent="0.25">
      <c r="C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3:13" x14ac:dyDescent="0.25">
      <c r="C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3:13" x14ac:dyDescent="0.25">
      <c r="C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3:13" x14ac:dyDescent="0.25">
      <c r="C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3:13" x14ac:dyDescent="0.25">
      <c r="C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3:13" x14ac:dyDescent="0.25">
      <c r="C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3:13" x14ac:dyDescent="0.25">
      <c r="C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3:13" x14ac:dyDescent="0.25">
      <c r="C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3:13" x14ac:dyDescent="0.25">
      <c r="C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3:13" x14ac:dyDescent="0.25">
      <c r="C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3:13" x14ac:dyDescent="0.25">
      <c r="C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3:13" x14ac:dyDescent="0.25">
      <c r="C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3:13" x14ac:dyDescent="0.25">
      <c r="C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3:13" x14ac:dyDescent="0.25">
      <c r="C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3:13" x14ac:dyDescent="0.25">
      <c r="C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3:13" x14ac:dyDescent="0.25">
      <c r="C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3:13" x14ac:dyDescent="0.25">
      <c r="C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3:13" x14ac:dyDescent="0.25">
      <c r="C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3:13" x14ac:dyDescent="0.25">
      <c r="C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3:13" x14ac:dyDescent="0.25">
      <c r="C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3:13" x14ac:dyDescent="0.25">
      <c r="C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3:13" x14ac:dyDescent="0.25">
      <c r="C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3:13" x14ac:dyDescent="0.25">
      <c r="C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3:13" x14ac:dyDescent="0.25">
      <c r="C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3:13" x14ac:dyDescent="0.25">
      <c r="C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3:13" x14ac:dyDescent="0.25">
      <c r="C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3:13" x14ac:dyDescent="0.25">
      <c r="C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3:13" x14ac:dyDescent="0.25">
      <c r="C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3:13" x14ac:dyDescent="0.25">
      <c r="C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3:13" x14ac:dyDescent="0.25">
      <c r="C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3:13" x14ac:dyDescent="0.25">
      <c r="C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3:13" x14ac:dyDescent="0.25">
      <c r="C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3:13" x14ac:dyDescent="0.25">
      <c r="C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3:13" x14ac:dyDescent="0.25">
      <c r="C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3:13" x14ac:dyDescent="0.25">
      <c r="C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3:13" x14ac:dyDescent="0.25">
      <c r="C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3:13" x14ac:dyDescent="0.25">
      <c r="C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3:13" x14ac:dyDescent="0.25">
      <c r="C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3:13" x14ac:dyDescent="0.25">
      <c r="C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3:13" x14ac:dyDescent="0.25">
      <c r="C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3:13" x14ac:dyDescent="0.25">
      <c r="C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3:13" x14ac:dyDescent="0.25">
      <c r="C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3:13" x14ac:dyDescent="0.25">
      <c r="C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3:13" x14ac:dyDescent="0.25">
      <c r="C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3:13" x14ac:dyDescent="0.25">
      <c r="C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3:13" x14ac:dyDescent="0.25">
      <c r="C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3:13" x14ac:dyDescent="0.25">
      <c r="C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3:13" x14ac:dyDescent="0.25">
      <c r="C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3:13" x14ac:dyDescent="0.25">
      <c r="C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3:13" x14ac:dyDescent="0.25">
      <c r="C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3:13" x14ac:dyDescent="0.25">
      <c r="C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3:13" x14ac:dyDescent="0.25">
      <c r="C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3:13" x14ac:dyDescent="0.25">
      <c r="C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3:13" x14ac:dyDescent="0.25">
      <c r="C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3:13" x14ac:dyDescent="0.25">
      <c r="C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3:13" x14ac:dyDescent="0.25">
      <c r="C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3:13" x14ac:dyDescent="0.25">
      <c r="C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3:13" x14ac:dyDescent="0.25">
      <c r="C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3:13" x14ac:dyDescent="0.25">
      <c r="C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3:13" x14ac:dyDescent="0.25">
      <c r="C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3:13" x14ac:dyDescent="0.25">
      <c r="C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3:13" x14ac:dyDescent="0.25">
      <c r="C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3:13" x14ac:dyDescent="0.25">
      <c r="C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3:13" x14ac:dyDescent="0.25">
      <c r="C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3:13" x14ac:dyDescent="0.25">
      <c r="C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3:13" x14ac:dyDescent="0.25">
      <c r="C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3:13" x14ac:dyDescent="0.25">
      <c r="C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3:13" x14ac:dyDescent="0.25">
      <c r="C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3:13" x14ac:dyDescent="0.25">
      <c r="C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3:13" x14ac:dyDescent="0.25">
      <c r="C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3:13" x14ac:dyDescent="0.25">
      <c r="C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3:13" x14ac:dyDescent="0.25">
      <c r="C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3:13" x14ac:dyDescent="0.25">
      <c r="C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3:13" x14ac:dyDescent="0.25">
      <c r="C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3:13" x14ac:dyDescent="0.25">
      <c r="C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3:13" x14ac:dyDescent="0.25">
      <c r="C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3:13" x14ac:dyDescent="0.25">
      <c r="C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3:13" x14ac:dyDescent="0.25">
      <c r="C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3:13" x14ac:dyDescent="0.25">
      <c r="C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3:13" x14ac:dyDescent="0.25">
      <c r="C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3:13" x14ac:dyDescent="0.25">
      <c r="C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3:13" x14ac:dyDescent="0.25">
      <c r="C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3:13" x14ac:dyDescent="0.25">
      <c r="C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3:13" x14ac:dyDescent="0.25">
      <c r="C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3:13" x14ac:dyDescent="0.25">
      <c r="C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3:13" x14ac:dyDescent="0.25">
      <c r="C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3:13" x14ac:dyDescent="0.25">
      <c r="C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3:13" x14ac:dyDescent="0.25">
      <c r="C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3:13" x14ac:dyDescent="0.25">
      <c r="C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3:13" x14ac:dyDescent="0.25">
      <c r="C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3:13" x14ac:dyDescent="0.25">
      <c r="C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3:13" x14ac:dyDescent="0.25">
      <c r="C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3:13" x14ac:dyDescent="0.25">
      <c r="C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3:13" x14ac:dyDescent="0.25">
      <c r="C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3:13" x14ac:dyDescent="0.25">
      <c r="C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3:13" x14ac:dyDescent="0.25">
      <c r="C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3:13" x14ac:dyDescent="0.25">
      <c r="C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3:13" x14ac:dyDescent="0.25">
      <c r="C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3:13" x14ac:dyDescent="0.25">
      <c r="C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3:13" x14ac:dyDescent="0.25">
      <c r="C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3:13" x14ac:dyDescent="0.25">
      <c r="C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3:13" x14ac:dyDescent="0.25">
      <c r="C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3:13" x14ac:dyDescent="0.25">
      <c r="C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3:13" x14ac:dyDescent="0.25">
      <c r="C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3:13" x14ac:dyDescent="0.25">
      <c r="C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3:13" x14ac:dyDescent="0.25">
      <c r="C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3:13" x14ac:dyDescent="0.25">
      <c r="C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3:13" x14ac:dyDescent="0.25">
      <c r="C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3:13" x14ac:dyDescent="0.25">
      <c r="C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3:13" x14ac:dyDescent="0.25">
      <c r="C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3:13" x14ac:dyDescent="0.25">
      <c r="C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3:13" x14ac:dyDescent="0.25">
      <c r="C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3:13" x14ac:dyDescent="0.25">
      <c r="C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3:13" x14ac:dyDescent="0.25">
      <c r="C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3:13" x14ac:dyDescent="0.25">
      <c r="C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3:13" x14ac:dyDescent="0.25">
      <c r="C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3:13" x14ac:dyDescent="0.25">
      <c r="C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3:13" x14ac:dyDescent="0.25">
      <c r="C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3:13" x14ac:dyDescent="0.25">
      <c r="C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3:13" x14ac:dyDescent="0.25">
      <c r="C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3:13" x14ac:dyDescent="0.25">
      <c r="C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3:13" x14ac:dyDescent="0.25">
      <c r="C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3:13" x14ac:dyDescent="0.25">
      <c r="C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3:13" x14ac:dyDescent="0.25">
      <c r="C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3:13" x14ac:dyDescent="0.25">
      <c r="C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3:13" x14ac:dyDescent="0.25">
      <c r="C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3:13" x14ac:dyDescent="0.25">
      <c r="C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3:13" x14ac:dyDescent="0.25">
      <c r="C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3:13" x14ac:dyDescent="0.25">
      <c r="C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3:13" x14ac:dyDescent="0.25">
      <c r="C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3:13" x14ac:dyDescent="0.25">
      <c r="C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3:13" x14ac:dyDescent="0.25">
      <c r="C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3:13" x14ac:dyDescent="0.25">
      <c r="C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3:13" x14ac:dyDescent="0.25">
      <c r="C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3:13" x14ac:dyDescent="0.25">
      <c r="C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3:13" x14ac:dyDescent="0.25">
      <c r="C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3:13" x14ac:dyDescent="0.25">
      <c r="C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3:13" x14ac:dyDescent="0.25">
      <c r="C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3:13" x14ac:dyDescent="0.25">
      <c r="C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3:13" x14ac:dyDescent="0.25">
      <c r="C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3:13" x14ac:dyDescent="0.25">
      <c r="C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3:13" x14ac:dyDescent="0.25">
      <c r="C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3:13" x14ac:dyDescent="0.25">
      <c r="C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3:13" x14ac:dyDescent="0.25">
      <c r="C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3:13" x14ac:dyDescent="0.25">
      <c r="C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3:13" x14ac:dyDescent="0.25">
      <c r="C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3:13" x14ac:dyDescent="0.25">
      <c r="C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3:13" x14ac:dyDescent="0.25">
      <c r="C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3:13" x14ac:dyDescent="0.25">
      <c r="C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3:13" x14ac:dyDescent="0.25">
      <c r="C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3:13" x14ac:dyDescent="0.25">
      <c r="C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3:13" x14ac:dyDescent="0.25">
      <c r="C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3:13" x14ac:dyDescent="0.25">
      <c r="C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3:13" x14ac:dyDescent="0.25">
      <c r="C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3:13" x14ac:dyDescent="0.25">
      <c r="C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3:13" x14ac:dyDescent="0.25">
      <c r="C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3:13" x14ac:dyDescent="0.25">
      <c r="C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3:13" x14ac:dyDescent="0.25">
      <c r="C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3:13" x14ac:dyDescent="0.25">
      <c r="C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3:13" x14ac:dyDescent="0.25">
      <c r="C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3:13" x14ac:dyDescent="0.25">
      <c r="C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3:13" x14ac:dyDescent="0.25">
      <c r="C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3:13" x14ac:dyDescent="0.25">
      <c r="C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3:13" x14ac:dyDescent="0.25">
      <c r="C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3:13" x14ac:dyDescent="0.25">
      <c r="C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3:13" x14ac:dyDescent="0.25">
      <c r="C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3:13" x14ac:dyDescent="0.25">
      <c r="C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3:13" x14ac:dyDescent="0.25">
      <c r="C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3:13" x14ac:dyDescent="0.25">
      <c r="C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3:13" x14ac:dyDescent="0.25">
      <c r="C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3:13" x14ac:dyDescent="0.25">
      <c r="C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3:13" x14ac:dyDescent="0.25">
      <c r="C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3:13" x14ac:dyDescent="0.25">
      <c r="C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3:13" x14ac:dyDescent="0.25">
      <c r="C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3:13" x14ac:dyDescent="0.25">
      <c r="C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3:13" x14ac:dyDescent="0.25">
      <c r="C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3:13" x14ac:dyDescent="0.25">
      <c r="C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3:13" x14ac:dyDescent="0.25">
      <c r="C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3:13" x14ac:dyDescent="0.25">
      <c r="C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3:13" x14ac:dyDescent="0.25">
      <c r="C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3:13" x14ac:dyDescent="0.25">
      <c r="C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3:13" x14ac:dyDescent="0.25">
      <c r="C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3:13" x14ac:dyDescent="0.25">
      <c r="C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3:13" x14ac:dyDescent="0.25">
      <c r="C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3:13" x14ac:dyDescent="0.25">
      <c r="C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3:13" x14ac:dyDescent="0.25">
      <c r="C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3:13" x14ac:dyDescent="0.25">
      <c r="C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3:13" x14ac:dyDescent="0.25">
      <c r="C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3:13" x14ac:dyDescent="0.25">
      <c r="C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3:13" x14ac:dyDescent="0.25">
      <c r="C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3:13" x14ac:dyDescent="0.25">
      <c r="C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3:13" x14ac:dyDescent="0.25">
      <c r="C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3:13" x14ac:dyDescent="0.25">
      <c r="C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3:13" x14ac:dyDescent="0.25">
      <c r="C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3:13" x14ac:dyDescent="0.25">
      <c r="C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3:13" x14ac:dyDescent="0.25">
      <c r="C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3:13" x14ac:dyDescent="0.25">
      <c r="C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3:13" x14ac:dyDescent="0.25">
      <c r="C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3:13" x14ac:dyDescent="0.25">
      <c r="C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3:13" x14ac:dyDescent="0.25">
      <c r="C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3:13" x14ac:dyDescent="0.25">
      <c r="C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3:13" x14ac:dyDescent="0.25">
      <c r="C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3:13" x14ac:dyDescent="0.25">
      <c r="C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3:13" x14ac:dyDescent="0.25">
      <c r="C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3:13" x14ac:dyDescent="0.25">
      <c r="C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3:13" x14ac:dyDescent="0.25">
      <c r="C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3:13" x14ac:dyDescent="0.25">
      <c r="C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3:13" x14ac:dyDescent="0.25">
      <c r="C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3:13" x14ac:dyDescent="0.25">
      <c r="C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3:13" x14ac:dyDescent="0.25">
      <c r="C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3:13" x14ac:dyDescent="0.25">
      <c r="C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3:13" x14ac:dyDescent="0.25">
      <c r="C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3:13" x14ac:dyDescent="0.25">
      <c r="C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3:13" x14ac:dyDescent="0.25">
      <c r="C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3:13" x14ac:dyDescent="0.25">
      <c r="C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3:13" x14ac:dyDescent="0.25">
      <c r="C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3:13" x14ac:dyDescent="0.25">
      <c r="C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3:13" x14ac:dyDescent="0.25">
      <c r="C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3:13" x14ac:dyDescent="0.25">
      <c r="C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3:13" x14ac:dyDescent="0.25">
      <c r="C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3:13" x14ac:dyDescent="0.25">
      <c r="C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3:13" x14ac:dyDescent="0.25">
      <c r="C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3:13" x14ac:dyDescent="0.25">
      <c r="C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3:13" x14ac:dyDescent="0.25">
      <c r="C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3:13" x14ac:dyDescent="0.25">
      <c r="C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3:13" x14ac:dyDescent="0.25">
      <c r="C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3:13" x14ac:dyDescent="0.25">
      <c r="C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3:13" x14ac:dyDescent="0.25">
      <c r="C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3:13" x14ac:dyDescent="0.25">
      <c r="C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3:13" x14ac:dyDescent="0.25">
      <c r="C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3:13" x14ac:dyDescent="0.25">
      <c r="C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3:13" x14ac:dyDescent="0.25">
      <c r="C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3:13" x14ac:dyDescent="0.25">
      <c r="C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3:13" x14ac:dyDescent="0.25">
      <c r="C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3:13" x14ac:dyDescent="0.25">
      <c r="C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3:13" x14ac:dyDescent="0.25">
      <c r="C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3:13" x14ac:dyDescent="0.25">
      <c r="C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3:13" x14ac:dyDescent="0.25">
      <c r="C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3:13" x14ac:dyDescent="0.25">
      <c r="C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3:13" x14ac:dyDescent="0.25">
      <c r="C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3:13" x14ac:dyDescent="0.25">
      <c r="C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3:13" x14ac:dyDescent="0.25">
      <c r="C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3:13" x14ac:dyDescent="0.25">
      <c r="C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3:13" x14ac:dyDescent="0.25">
      <c r="C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3:13" x14ac:dyDescent="0.25">
      <c r="C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3:13" x14ac:dyDescent="0.25">
      <c r="C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3:13" x14ac:dyDescent="0.25">
      <c r="C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3:13" x14ac:dyDescent="0.25">
      <c r="C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3:13" x14ac:dyDescent="0.25">
      <c r="C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3:13" x14ac:dyDescent="0.25">
      <c r="C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3:13" x14ac:dyDescent="0.25">
      <c r="C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3:13" x14ac:dyDescent="0.25">
      <c r="C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3:13" x14ac:dyDescent="0.25">
      <c r="C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3:13" x14ac:dyDescent="0.25">
      <c r="C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3:13" x14ac:dyDescent="0.25">
      <c r="C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3:13" x14ac:dyDescent="0.25">
      <c r="C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3:13" x14ac:dyDescent="0.25">
      <c r="C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3:13" x14ac:dyDescent="0.25">
      <c r="C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3:13" x14ac:dyDescent="0.25">
      <c r="C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3:13" x14ac:dyDescent="0.25">
      <c r="C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3:13" x14ac:dyDescent="0.25">
      <c r="C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3:13" x14ac:dyDescent="0.25">
      <c r="C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3:13" x14ac:dyDescent="0.25">
      <c r="C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3:13" x14ac:dyDescent="0.25">
      <c r="C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3:13" x14ac:dyDescent="0.25">
      <c r="C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3:13" x14ac:dyDescent="0.25">
      <c r="C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3:13" x14ac:dyDescent="0.25">
      <c r="C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3:13" x14ac:dyDescent="0.25">
      <c r="C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3:13" x14ac:dyDescent="0.25">
      <c r="C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3:13" x14ac:dyDescent="0.25">
      <c r="C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3:13" x14ac:dyDescent="0.25">
      <c r="C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3:13" x14ac:dyDescent="0.25">
      <c r="C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3:13" x14ac:dyDescent="0.25">
      <c r="C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3:13" x14ac:dyDescent="0.25">
      <c r="C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3:13" x14ac:dyDescent="0.25">
      <c r="C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3:13" x14ac:dyDescent="0.25">
      <c r="C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3:13" x14ac:dyDescent="0.25">
      <c r="C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3:13" x14ac:dyDescent="0.25">
      <c r="C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3:13" x14ac:dyDescent="0.25">
      <c r="C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3:13" x14ac:dyDescent="0.25">
      <c r="C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3:13" x14ac:dyDescent="0.25">
      <c r="C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3:13" x14ac:dyDescent="0.25">
      <c r="C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3:13" x14ac:dyDescent="0.25">
      <c r="C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3:13" x14ac:dyDescent="0.25">
      <c r="C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3:13" x14ac:dyDescent="0.25">
      <c r="C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3:13" x14ac:dyDescent="0.25">
      <c r="C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3:13" x14ac:dyDescent="0.25">
      <c r="C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3:13" x14ac:dyDescent="0.25">
      <c r="C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3:13" x14ac:dyDescent="0.25">
      <c r="C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3:13" x14ac:dyDescent="0.25">
      <c r="C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3:13" x14ac:dyDescent="0.25">
      <c r="C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3:13" x14ac:dyDescent="0.25">
      <c r="C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3:13" x14ac:dyDescent="0.25">
      <c r="C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3:13" x14ac:dyDescent="0.25">
      <c r="C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3:13" x14ac:dyDescent="0.25">
      <c r="C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3:13" x14ac:dyDescent="0.25">
      <c r="C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3:13" x14ac:dyDescent="0.25">
      <c r="C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3:13" x14ac:dyDescent="0.25">
      <c r="C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3:13" x14ac:dyDescent="0.25">
      <c r="C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3:13" x14ac:dyDescent="0.25">
      <c r="C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3:13" x14ac:dyDescent="0.25">
      <c r="C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3:13" x14ac:dyDescent="0.25">
      <c r="C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3:13" x14ac:dyDescent="0.25">
      <c r="C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3:13" x14ac:dyDescent="0.25">
      <c r="C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3:13" x14ac:dyDescent="0.25">
      <c r="C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3:13" x14ac:dyDescent="0.25">
      <c r="C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3:13" x14ac:dyDescent="0.25">
      <c r="C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3:13" x14ac:dyDescent="0.25">
      <c r="C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3:13" x14ac:dyDescent="0.25">
      <c r="C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3:13" x14ac:dyDescent="0.25">
      <c r="C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3:13" x14ac:dyDescent="0.25">
      <c r="C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3:13" x14ac:dyDescent="0.25">
      <c r="C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3:13" x14ac:dyDescent="0.25">
      <c r="C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3:13" x14ac:dyDescent="0.25">
      <c r="C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3:13" x14ac:dyDescent="0.25">
      <c r="C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3:13" x14ac:dyDescent="0.25">
      <c r="C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3:13" x14ac:dyDescent="0.25">
      <c r="C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3:13" x14ac:dyDescent="0.25">
      <c r="C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3:13" x14ac:dyDescent="0.25">
      <c r="C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3:13" x14ac:dyDescent="0.25">
      <c r="C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3:13" x14ac:dyDescent="0.25">
      <c r="C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3:13" x14ac:dyDescent="0.25">
      <c r="C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3:13" x14ac:dyDescent="0.25">
      <c r="C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3:13" x14ac:dyDescent="0.25">
      <c r="C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3:13" x14ac:dyDescent="0.25">
      <c r="C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3:13" x14ac:dyDescent="0.25">
      <c r="C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3:13" x14ac:dyDescent="0.25">
      <c r="C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3:13" x14ac:dyDescent="0.25">
      <c r="C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3:13" x14ac:dyDescent="0.25">
      <c r="C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3:13" x14ac:dyDescent="0.25">
      <c r="C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3:13" x14ac:dyDescent="0.25">
      <c r="C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3:13" x14ac:dyDescent="0.25">
      <c r="C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3:13" x14ac:dyDescent="0.25">
      <c r="C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3:13" x14ac:dyDescent="0.25">
      <c r="C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3:13" x14ac:dyDescent="0.25">
      <c r="C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3:13" x14ac:dyDescent="0.25">
      <c r="C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3:13" x14ac:dyDescent="0.25">
      <c r="C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3:13" x14ac:dyDescent="0.25">
      <c r="C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3:13" x14ac:dyDescent="0.25">
      <c r="C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3:13" x14ac:dyDescent="0.25">
      <c r="C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3:13" x14ac:dyDescent="0.25">
      <c r="C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3:13" x14ac:dyDescent="0.25">
      <c r="C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3:13" x14ac:dyDescent="0.25">
      <c r="C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3:13" x14ac:dyDescent="0.25">
      <c r="C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3:13" x14ac:dyDescent="0.25">
      <c r="C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3:13" x14ac:dyDescent="0.25">
      <c r="C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3:13" x14ac:dyDescent="0.25">
      <c r="C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3:13" x14ac:dyDescent="0.25">
      <c r="C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3:13" x14ac:dyDescent="0.25">
      <c r="C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3:13" x14ac:dyDescent="0.25">
      <c r="C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3:13" x14ac:dyDescent="0.25">
      <c r="C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3:13" x14ac:dyDescent="0.25">
      <c r="C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3:13" x14ac:dyDescent="0.25">
      <c r="C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3:13" x14ac:dyDescent="0.25">
      <c r="C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3:13" x14ac:dyDescent="0.25">
      <c r="C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3:13" x14ac:dyDescent="0.25">
      <c r="C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3:13" x14ac:dyDescent="0.25">
      <c r="C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3:13" x14ac:dyDescent="0.25">
      <c r="C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3:13" x14ac:dyDescent="0.25">
      <c r="C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3:13" x14ac:dyDescent="0.25">
      <c r="C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3:13" x14ac:dyDescent="0.25">
      <c r="C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3:13" x14ac:dyDescent="0.25">
      <c r="C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3:13" x14ac:dyDescent="0.25">
      <c r="C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3:13" x14ac:dyDescent="0.25">
      <c r="C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3:13" x14ac:dyDescent="0.25">
      <c r="C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3:13" x14ac:dyDescent="0.25">
      <c r="C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3:13" x14ac:dyDescent="0.25">
      <c r="C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3:13" x14ac:dyDescent="0.25">
      <c r="C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3:13" x14ac:dyDescent="0.25">
      <c r="C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3:13" x14ac:dyDescent="0.25">
      <c r="C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3:13" x14ac:dyDescent="0.25">
      <c r="C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3:13" x14ac:dyDescent="0.25">
      <c r="C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3:13" x14ac:dyDescent="0.25">
      <c r="C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3:13" x14ac:dyDescent="0.25">
      <c r="C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3:13" x14ac:dyDescent="0.25">
      <c r="C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3:13" x14ac:dyDescent="0.25">
      <c r="C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3:13" x14ac:dyDescent="0.25">
      <c r="C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3:13" x14ac:dyDescent="0.25">
      <c r="C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3:13" x14ac:dyDescent="0.25">
      <c r="C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3:13" x14ac:dyDescent="0.25">
      <c r="C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3:13" x14ac:dyDescent="0.25">
      <c r="C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3:13" x14ac:dyDescent="0.25">
      <c r="C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3:13" x14ac:dyDescent="0.25">
      <c r="C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3:13" x14ac:dyDescent="0.25">
      <c r="C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3:13" x14ac:dyDescent="0.25">
      <c r="C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3:13" x14ac:dyDescent="0.25">
      <c r="C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3:13" x14ac:dyDescent="0.25">
      <c r="C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3:13" x14ac:dyDescent="0.25">
      <c r="C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3:14" x14ac:dyDescent="0.25">
      <c r="C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3:14" x14ac:dyDescent="0.25">
      <c r="C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3:14" x14ac:dyDescent="0.25">
      <c r="C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3:14" x14ac:dyDescent="0.25">
      <c r="C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3:14" x14ac:dyDescent="0.25">
      <c r="C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3:14" x14ac:dyDescent="0.25">
      <c r="C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3:14" x14ac:dyDescent="0.25">
      <c r="C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3:14" x14ac:dyDescent="0.25">
      <c r="C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3:14" x14ac:dyDescent="0.25">
      <c r="C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3:14" x14ac:dyDescent="0.25">
      <c r="C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3:14" x14ac:dyDescent="0.25">
      <c r="C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3:14" x14ac:dyDescent="0.25">
      <c r="C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3:14" x14ac:dyDescent="0.25">
      <c r="C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3:14" x14ac:dyDescent="0.25">
      <c r="C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3:14" x14ac:dyDescent="0.25">
      <c r="C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3:14" x14ac:dyDescent="0.25">
      <c r="C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3:14" x14ac:dyDescent="0.25">
      <c r="C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3:14" x14ac:dyDescent="0.25">
      <c r="C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3:14" x14ac:dyDescent="0.25">
      <c r="C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3:14" x14ac:dyDescent="0.25">
      <c r="C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3:14" x14ac:dyDescent="0.25">
      <c r="C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3:14" x14ac:dyDescent="0.25">
      <c r="C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3:14" x14ac:dyDescent="0.25">
      <c r="C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3:14" x14ac:dyDescent="0.25">
      <c r="C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3:14" x14ac:dyDescent="0.25">
      <c r="C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3:14" x14ac:dyDescent="0.25">
      <c r="C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3:14" x14ac:dyDescent="0.25">
      <c r="C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3:14" x14ac:dyDescent="0.25">
      <c r="C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3:14" x14ac:dyDescent="0.25">
      <c r="G541" s="2"/>
    </row>
    <row r="542" spans="3:14" x14ac:dyDescent="0.25">
      <c r="G542" s="2"/>
    </row>
    <row r="543" spans="3:14" x14ac:dyDescent="0.25">
      <c r="G543" s="2"/>
    </row>
    <row r="544" spans="3:14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</sheetData>
  <mergeCells count="11">
    <mergeCell ref="R5:S5"/>
    <mergeCell ref="B4:U4"/>
    <mergeCell ref="A4:A6"/>
    <mergeCell ref="B5:C5"/>
    <mergeCell ref="D5:E5"/>
    <mergeCell ref="F5:G5"/>
    <mergeCell ref="H5:I5"/>
    <mergeCell ref="J5:K5"/>
    <mergeCell ref="L5:M5"/>
    <mergeCell ref="N5:O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Thomas A File</cp:lastModifiedBy>
  <cp:lastPrinted>2011-06-30T19:08:47Z</cp:lastPrinted>
  <dcterms:created xsi:type="dcterms:W3CDTF">2005-02-02T15:02:20Z</dcterms:created>
  <dcterms:modified xsi:type="dcterms:W3CDTF">2017-05-02T23:06:40Z</dcterms:modified>
</cp:coreProperties>
</file>