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1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daniel-egan-car-fleet/models/"/>
    </mc:Choice>
  </mc:AlternateContent>
  <xr:revisionPtr revIDLastSave="15" documentId="8_{F9F2B19C-04EB-4886-B37B-AD6CFB2BEFE3}" xr6:coauthVersionLast="47" xr6:coauthVersionMax="47" xr10:uidLastSave="{7C903AFB-CA41-45C0-9045-1C8D2C963AA3}"/>
  <bookViews>
    <workbookView xWindow="-98" yWindow="-98" windowWidth="28996" windowHeight="15675" firstSheet="3" activeTab="4" xr2:uid="{F16668A3-9005-4D14-85DA-79863A80C37C}"/>
  </bookViews>
  <sheets>
    <sheet name="readme" sheetId="10" r:id="rId1"/>
    <sheet name="to-dos" sheetId="7" r:id="rId2"/>
    <sheet name="grand-summary" sheetId="9" r:id="rId3"/>
    <sheet name="summary-by-location" sheetId="8" r:id="rId4"/>
    <sheet name="model" sheetId="6" r:id="rId5"/>
    <sheet name="copied-data-all-vehicles" sheetId="11" r:id="rId6"/>
    <sheet name="fleetio" sheetId="12" r:id="rId7"/>
    <sheet name="vehicle-data" sheetId="1" r:id="rId8"/>
    <sheet name="Sheet1" sheetId="13" r:id="rId9"/>
    <sheet name="maintenance-costs" sheetId="2" r:id="rId10"/>
    <sheet name="locations-vehicles" sheetId="3" r:id="rId11"/>
    <sheet name="fuel_costs" sheetId="4" r:id="rId12"/>
    <sheet name="months" sheetId="5" state="hidden" r:id="rId13"/>
  </sheets>
  <definedNames>
    <definedName name="Austin">Table8[Austin]</definedName>
    <definedName name="CPM">_xlfn.ANCHORARRAY(model!$G$8)</definedName>
    <definedName name="Delaware">Table10[Delaware]</definedName>
    <definedName name="Dep_CPM">_xlfn.ANCHORARRAY(model!$V$8)</definedName>
    <definedName name="Fuel_CPM">_xlfn.ANCHORARRAY(model!$X$8)</definedName>
    <definedName name="Grand_Rapids">Table5[Grand Rapids]</definedName>
    <definedName name="Lifetime_fuel">_xlfn.ANCHORARRAY(model!#REF!)</definedName>
    <definedName name="Lifetime_maintenance">_xlfn.ANCHORARRAY(model!#REF!)</definedName>
    <definedName name="location_name">Table7[location_name]</definedName>
    <definedName name="locations">Table7[locations]</definedName>
    <definedName name="Maint_CPM">_xlfn.ANCHORARRAY(model!$W$8)</definedName>
    <definedName name="_xlnm.Print_Area" localSheetId="4">model!$A$1:$U$37</definedName>
    <definedName name="_xlnm.Print_Area" localSheetId="3">'summary-by-location'!$A$1:$I$84</definedName>
    <definedName name="_xlnm.Print_Titles" localSheetId="4">model!$A:$B</definedName>
    <definedName name="Redford">Table9[Redford]</definedName>
    <definedName name="South_Bend">Table6[South Bend]</definedName>
    <definedName name="TPM_array">_xlfn.ANCHORARRAY(model!$Y$8)</definedName>
    <definedName name="Vehicle_asset">_xlfn.ANCHORARRAY(model!#REF!)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6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3" i="1"/>
  <c r="E83" i="8" l="1"/>
  <c r="E82" i="8"/>
  <c r="E81" i="8"/>
  <c r="E80" i="8"/>
  <c r="E79" i="8"/>
  <c r="E78" i="8"/>
  <c r="E77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44" i="8"/>
  <c r="E43" i="8"/>
  <c r="E42" i="8"/>
  <c r="E41" i="8"/>
  <c r="E40" i="8"/>
  <c r="E39" i="8"/>
  <c r="E38" i="8"/>
  <c r="E37" i="8"/>
  <c r="E36" i="8"/>
  <c r="E28" i="8"/>
  <c r="E27" i="8"/>
  <c r="E26" i="8"/>
  <c r="E25" i="8"/>
  <c r="E24" i="8"/>
  <c r="E23" i="8"/>
  <c r="E22" i="8"/>
  <c r="E21" i="8"/>
  <c r="E14" i="8"/>
  <c r="E13" i="8"/>
  <c r="E12" i="8"/>
  <c r="E11" i="8"/>
  <c r="E10" i="8"/>
  <c r="E9" i="8"/>
  <c r="E8" i="8"/>
  <c r="E7" i="8"/>
  <c r="E6" i="8"/>
  <c r="D83" i="8"/>
  <c r="D82" i="8"/>
  <c r="D81" i="8"/>
  <c r="D80" i="8"/>
  <c r="D79" i="8"/>
  <c r="D78" i="8"/>
  <c r="D77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44" i="8"/>
  <c r="D43" i="8"/>
  <c r="D42" i="8"/>
  <c r="D41" i="8"/>
  <c r="D40" i="8"/>
  <c r="D39" i="8"/>
  <c r="D38" i="8"/>
  <c r="D37" i="8"/>
  <c r="D36" i="8"/>
  <c r="D28" i="8"/>
  <c r="D27" i="8"/>
  <c r="D26" i="8"/>
  <c r="D25" i="8"/>
  <c r="D24" i="8"/>
  <c r="D23" i="8"/>
  <c r="D22" i="8"/>
  <c r="D21" i="8"/>
  <c r="D14" i="8"/>
  <c r="D13" i="8"/>
  <c r="D12" i="8"/>
  <c r="D11" i="8"/>
  <c r="D10" i="8"/>
  <c r="D9" i="8"/>
  <c r="D8" i="8"/>
  <c r="D7" i="8"/>
  <c r="D6" i="8"/>
  <c r="H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3" i="1"/>
  <c r="T18" i="6"/>
  <c r="T19" i="6"/>
  <c r="T20" i="6"/>
  <c r="T21" i="6"/>
  <c r="L18" i="6" l="1" a="1"/>
  <c r="L18" i="6" s="1"/>
  <c r="L19" i="6" a="1"/>
  <c r="L19" i="6" s="1"/>
  <c r="L20" i="6" a="1"/>
  <c r="L20" i="6" s="1"/>
  <c r="K18" i="6" a="1"/>
  <c r="K18" i="6" s="1"/>
  <c r="K19" i="6" a="1"/>
  <c r="K19" i="6" s="1"/>
  <c r="S18" i="6"/>
  <c r="S19" i="6"/>
  <c r="S20" i="6"/>
  <c r="S21" i="6"/>
  <c r="S22" i="6"/>
  <c r="S23" i="6"/>
  <c r="Z19" i="6"/>
  <c r="C18" i="6" l="1"/>
  <c r="C19" i="6"/>
  <c r="C20" i="6"/>
  <c r="C21" i="6"/>
  <c r="R18" i="6" l="1"/>
  <c r="R19" i="6"/>
  <c r="R20" i="6"/>
  <c r="R21" i="6"/>
  <c r="R22" i="6"/>
  <c r="R23" i="6"/>
  <c r="R24" i="6"/>
  <c r="R25" i="6"/>
  <c r="F18" i="6"/>
  <c r="F19" i="6"/>
  <c r="E18" i="6"/>
  <c r="E19" i="6"/>
  <c r="E20" i="6"/>
  <c r="M55" i="1"/>
  <c r="M54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8" i="1"/>
  <c r="M37" i="1"/>
  <c r="M35" i="1"/>
  <c r="M34" i="1"/>
  <c r="M33" i="1"/>
  <c r="M32" i="1"/>
  <c r="M30" i="1"/>
  <c r="M29" i="1"/>
  <c r="M28" i="1"/>
  <c r="M27" i="1"/>
  <c r="M26" i="1"/>
  <c r="M25" i="1"/>
  <c r="M24" i="1"/>
  <c r="M23" i="1"/>
  <c r="M22" i="1"/>
  <c r="M21" i="1"/>
  <c r="M20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3" i="1"/>
  <c r="J2" i="6" l="1"/>
  <c r="D22" i="6"/>
  <c r="H18" i="6"/>
  <c r="U18" i="6" s="1"/>
  <c r="H19" i="6"/>
  <c r="U19" i="6" s="1"/>
  <c r="H20" i="6"/>
  <c r="U20" i="6" s="1"/>
  <c r="H21" i="6"/>
  <c r="U21" i="6" s="1"/>
  <c r="H22" i="6"/>
  <c r="U22" i="6" s="1"/>
  <c r="G18" i="6" l="1"/>
  <c r="G19" i="6"/>
  <c r="Q18" i="6"/>
  <c r="Q19" i="6"/>
  <c r="Q20" i="6"/>
  <c r="Q21" i="6"/>
  <c r="Q22" i="6"/>
  <c r="O18" i="6"/>
  <c r="O19" i="6"/>
  <c r="B18" i="6"/>
  <c r="B21" i="6"/>
  <c r="V19" i="6"/>
  <c r="V20" i="6"/>
  <c r="V21" i="6"/>
  <c r="V22" i="6"/>
  <c r="V23" i="6"/>
  <c r="D18" i="6"/>
  <c r="D19" i="6"/>
  <c r="D20" i="6"/>
  <c r="D21" i="6"/>
  <c r="B8" i="8" l="1"/>
  <c r="W278" i="11"/>
  <c r="W277" i="11"/>
  <c r="G70" i="8" s="1"/>
  <c r="H70" i="8" s="1"/>
  <c r="C12" i="4"/>
  <c r="E55" i="1"/>
  <c r="H55" i="1"/>
  <c r="C70" i="8" s="1"/>
  <c r="L55" i="1"/>
  <c r="B70" i="8"/>
  <c r="W275" i="11"/>
  <c r="G42" i="8" s="1"/>
  <c r="H42" i="8" s="1"/>
  <c r="W276" i="11"/>
  <c r="E54" i="1"/>
  <c r="H54" i="1"/>
  <c r="C42" i="8" s="1"/>
  <c r="L54" i="1"/>
  <c r="B42" i="8"/>
  <c r="B26" i="8"/>
  <c r="W270" i="11"/>
  <c r="W271" i="11"/>
  <c r="W272" i="11"/>
  <c r="W273" i="11"/>
  <c r="W274" i="11"/>
  <c r="W269" i="11"/>
  <c r="G26" i="8" s="1"/>
  <c r="H26" i="8" s="1"/>
  <c r="B14" i="8"/>
  <c r="W268" i="11"/>
  <c r="G14" i="8" s="1"/>
  <c r="H14" i="8" s="1"/>
  <c r="F2" i="6"/>
  <c r="E10" i="1"/>
  <c r="H10" i="1"/>
  <c r="L10" i="1"/>
  <c r="W4" i="11"/>
  <c r="W5" i="11"/>
  <c r="W6" i="11"/>
  <c r="W7" i="11"/>
  <c r="W8" i="11"/>
  <c r="W9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62" i="11"/>
  <c r="W63" i="11"/>
  <c r="W64" i="11"/>
  <c r="W65" i="11"/>
  <c r="W66" i="11"/>
  <c r="W67" i="11"/>
  <c r="W68" i="11"/>
  <c r="W69" i="11"/>
  <c r="W70" i="11"/>
  <c r="W71" i="11"/>
  <c r="W72" i="11"/>
  <c r="W73" i="11"/>
  <c r="W74" i="11"/>
  <c r="W75" i="11"/>
  <c r="W76" i="11"/>
  <c r="W77" i="11"/>
  <c r="W78" i="11"/>
  <c r="W79" i="11"/>
  <c r="W80" i="11"/>
  <c r="W81" i="11"/>
  <c r="W82" i="11"/>
  <c r="W83" i="11"/>
  <c r="W84" i="11"/>
  <c r="W85" i="11"/>
  <c r="W86" i="11"/>
  <c r="W87" i="11"/>
  <c r="W88" i="11"/>
  <c r="W89" i="11"/>
  <c r="W90" i="11"/>
  <c r="W91" i="11"/>
  <c r="W92" i="11"/>
  <c r="W93" i="11"/>
  <c r="W94" i="11"/>
  <c r="W95" i="11"/>
  <c r="W96" i="11"/>
  <c r="W97" i="11"/>
  <c r="W98" i="11"/>
  <c r="W99" i="11"/>
  <c r="W100" i="11"/>
  <c r="W101" i="11"/>
  <c r="W102" i="11"/>
  <c r="W103" i="11"/>
  <c r="W104" i="11"/>
  <c r="W105" i="11"/>
  <c r="W106" i="11"/>
  <c r="W107" i="11"/>
  <c r="W108" i="11"/>
  <c r="W109" i="11"/>
  <c r="W110" i="11"/>
  <c r="W111" i="11"/>
  <c r="W112" i="11"/>
  <c r="W113" i="11"/>
  <c r="W114" i="11"/>
  <c r="W115" i="11"/>
  <c r="W116" i="11"/>
  <c r="W117" i="11"/>
  <c r="W118" i="11"/>
  <c r="W119" i="11"/>
  <c r="W120" i="11"/>
  <c r="W121" i="11"/>
  <c r="W122" i="11"/>
  <c r="W123" i="11"/>
  <c r="W124" i="11"/>
  <c r="W125" i="11"/>
  <c r="W126" i="11"/>
  <c r="W127" i="11"/>
  <c r="W128" i="11"/>
  <c r="W129" i="11"/>
  <c r="W130" i="11"/>
  <c r="W131" i="11"/>
  <c r="W132" i="11"/>
  <c r="W133" i="11"/>
  <c r="W134" i="11"/>
  <c r="W135" i="11"/>
  <c r="W136" i="11"/>
  <c r="W137" i="11"/>
  <c r="W138" i="11"/>
  <c r="W139" i="11"/>
  <c r="W140" i="11"/>
  <c r="W141" i="11"/>
  <c r="W142" i="11"/>
  <c r="W143" i="11"/>
  <c r="W144" i="11"/>
  <c r="W145" i="11"/>
  <c r="W146" i="11"/>
  <c r="W147" i="11"/>
  <c r="W148" i="11"/>
  <c r="W149" i="11"/>
  <c r="W150" i="11"/>
  <c r="W151" i="11"/>
  <c r="W152" i="11"/>
  <c r="W153" i="11"/>
  <c r="W154" i="11"/>
  <c r="W155" i="11"/>
  <c r="W156" i="11"/>
  <c r="W157" i="11"/>
  <c r="W158" i="11"/>
  <c r="W159" i="11"/>
  <c r="W160" i="11"/>
  <c r="W161" i="11"/>
  <c r="W162" i="11"/>
  <c r="W163" i="11"/>
  <c r="W164" i="11"/>
  <c r="W165" i="11"/>
  <c r="W166" i="11"/>
  <c r="W167" i="11"/>
  <c r="W168" i="11"/>
  <c r="W169" i="11"/>
  <c r="W170" i="11"/>
  <c r="W171" i="11"/>
  <c r="W172" i="11"/>
  <c r="W173" i="11"/>
  <c r="W174" i="11"/>
  <c r="W175" i="11"/>
  <c r="W176" i="11"/>
  <c r="W177" i="11"/>
  <c r="W178" i="11"/>
  <c r="W179" i="11"/>
  <c r="W180" i="11"/>
  <c r="W181" i="11"/>
  <c r="W182" i="11"/>
  <c r="W183" i="11"/>
  <c r="W184" i="11"/>
  <c r="W185" i="11"/>
  <c r="W186" i="11"/>
  <c r="W187" i="11"/>
  <c r="W188" i="11"/>
  <c r="W189" i="11"/>
  <c r="W190" i="11"/>
  <c r="W191" i="11"/>
  <c r="W192" i="11"/>
  <c r="W193" i="11"/>
  <c r="W194" i="11"/>
  <c r="W195" i="11"/>
  <c r="W196" i="11"/>
  <c r="W197" i="11"/>
  <c r="W198" i="11"/>
  <c r="W199" i="11"/>
  <c r="W200" i="11"/>
  <c r="W201" i="11"/>
  <c r="W202" i="11"/>
  <c r="W203" i="11"/>
  <c r="W204" i="11"/>
  <c r="W205" i="11"/>
  <c r="W206" i="11"/>
  <c r="W207" i="11"/>
  <c r="W208" i="11"/>
  <c r="W209" i="11"/>
  <c r="W210" i="11"/>
  <c r="W211" i="11"/>
  <c r="W212" i="11"/>
  <c r="W213" i="11"/>
  <c r="W214" i="11"/>
  <c r="W215" i="11"/>
  <c r="W216" i="11"/>
  <c r="W217" i="11"/>
  <c r="W218" i="11"/>
  <c r="W219" i="11"/>
  <c r="W220" i="11"/>
  <c r="W221" i="11"/>
  <c r="W222" i="11"/>
  <c r="W223" i="11"/>
  <c r="W224" i="11"/>
  <c r="W225" i="11"/>
  <c r="W226" i="11"/>
  <c r="W227" i="11"/>
  <c r="W228" i="11"/>
  <c r="W229" i="11"/>
  <c r="W230" i="11"/>
  <c r="W231" i="11"/>
  <c r="W232" i="11"/>
  <c r="W233" i="11"/>
  <c r="W234" i="11"/>
  <c r="W235" i="11"/>
  <c r="W236" i="11"/>
  <c r="W237" i="11"/>
  <c r="W238" i="11"/>
  <c r="W239" i="11"/>
  <c r="W240" i="11"/>
  <c r="W241" i="11"/>
  <c r="W242" i="11"/>
  <c r="W243" i="11"/>
  <c r="W244" i="11"/>
  <c r="W245" i="11"/>
  <c r="W246" i="11"/>
  <c r="W247" i="11"/>
  <c r="W248" i="11"/>
  <c r="W249" i="11"/>
  <c r="W250" i="11"/>
  <c r="W251" i="11"/>
  <c r="W252" i="11"/>
  <c r="W253" i="11"/>
  <c r="W254" i="11"/>
  <c r="W255" i="11"/>
  <c r="W256" i="11"/>
  <c r="W257" i="11"/>
  <c r="W258" i="11"/>
  <c r="W259" i="11"/>
  <c r="W260" i="11"/>
  <c r="W261" i="11"/>
  <c r="W262" i="11"/>
  <c r="W263" i="11"/>
  <c r="G69" i="8" s="1"/>
  <c r="H69" i="8" s="1"/>
  <c r="W264" i="11"/>
  <c r="G67" i="8" s="1"/>
  <c r="H67" i="8" s="1"/>
  <c r="W265" i="11"/>
  <c r="F1" i="6"/>
  <c r="B67" i="8"/>
  <c r="B69" i="8"/>
  <c r="L3" i="1"/>
  <c r="L4" i="1"/>
  <c r="L5" i="1"/>
  <c r="L6" i="1"/>
  <c r="L7" i="1"/>
  <c r="L8" i="1"/>
  <c r="L9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K54" i="1" l="1"/>
  <c r="I42" i="8" s="1"/>
  <c r="K55" i="1"/>
  <c r="I70" i="8" s="1"/>
  <c r="F70" i="8"/>
  <c r="F42" i="8"/>
  <c r="K10" i="1"/>
  <c r="F26" i="8"/>
  <c r="F14" i="8"/>
  <c r="F67" i="8"/>
  <c r="F69" i="8"/>
  <c r="W3" i="11" l="1"/>
  <c r="G83" i="8"/>
  <c r="H83" i="8" s="1"/>
  <c r="G82" i="8"/>
  <c r="H82" i="8" s="1"/>
  <c r="G81" i="8"/>
  <c r="H81" i="8" s="1"/>
  <c r="G80" i="8"/>
  <c r="H80" i="8" s="1"/>
  <c r="G79" i="8"/>
  <c r="H79" i="8" s="1"/>
  <c r="G78" i="8"/>
  <c r="H78" i="8" s="1"/>
  <c r="G77" i="8"/>
  <c r="H77" i="8" s="1"/>
  <c r="G65" i="8"/>
  <c r="H65" i="8" s="1"/>
  <c r="G64" i="8"/>
  <c r="H64" i="8" s="1"/>
  <c r="G63" i="8"/>
  <c r="H63" i="8" s="1"/>
  <c r="G62" i="8"/>
  <c r="H62" i="8" s="1"/>
  <c r="G61" i="8"/>
  <c r="H61" i="8" s="1"/>
  <c r="G60" i="8"/>
  <c r="H60" i="8" s="1"/>
  <c r="G59" i="8"/>
  <c r="H59" i="8" s="1"/>
  <c r="G58" i="8"/>
  <c r="H58" i="8" s="1"/>
  <c r="G57" i="8"/>
  <c r="H57" i="8" s="1"/>
  <c r="G56" i="8"/>
  <c r="H56" i="8" s="1"/>
  <c r="G55" i="8"/>
  <c r="H55" i="8" s="1"/>
  <c r="G54" i="8"/>
  <c r="H54" i="8" s="1"/>
  <c r="G53" i="8"/>
  <c r="H53" i="8" s="1"/>
  <c r="G52" i="8"/>
  <c r="H52" i="8" s="1"/>
  <c r="G51" i="8"/>
  <c r="H51" i="8" s="1"/>
  <c r="G44" i="8"/>
  <c r="H44" i="8" s="1"/>
  <c r="G43" i="8"/>
  <c r="H43" i="8" s="1"/>
  <c r="G41" i="8"/>
  <c r="H41" i="8" s="1"/>
  <c r="G40" i="8"/>
  <c r="H40" i="8" s="1"/>
  <c r="G39" i="8"/>
  <c r="H39" i="8" s="1"/>
  <c r="G38" i="8"/>
  <c r="H38" i="8" s="1"/>
  <c r="G37" i="8"/>
  <c r="H37" i="8" s="1"/>
  <c r="G36" i="8"/>
  <c r="H36" i="8" s="1"/>
  <c r="G28" i="8"/>
  <c r="H28" i="8" s="1"/>
  <c r="G27" i="8"/>
  <c r="H27" i="8" s="1"/>
  <c r="G25" i="8"/>
  <c r="H25" i="8" s="1"/>
  <c r="G24" i="8"/>
  <c r="H24" i="8" s="1"/>
  <c r="G23" i="8"/>
  <c r="H23" i="8" s="1"/>
  <c r="G22" i="8"/>
  <c r="H22" i="8" s="1"/>
  <c r="G21" i="8"/>
  <c r="H21" i="8" s="1"/>
  <c r="G68" i="8"/>
  <c r="H68" i="8" s="1"/>
  <c r="G66" i="8"/>
  <c r="H66" i="8" s="1"/>
  <c r="G13" i="8"/>
  <c r="H13" i="8" s="1"/>
  <c r="G12" i="8"/>
  <c r="H12" i="8" s="1"/>
  <c r="G11" i="8"/>
  <c r="H11" i="8" s="1"/>
  <c r="G10" i="8"/>
  <c r="H10" i="8" s="1"/>
  <c r="G9" i="8"/>
  <c r="H9" i="8" s="1"/>
  <c r="G8" i="8"/>
  <c r="H8" i="8" s="1"/>
  <c r="G7" i="8"/>
  <c r="H7" i="8" s="1"/>
  <c r="G6" i="8"/>
  <c r="H6" i="8" s="1"/>
  <c r="B44" i="6"/>
  <c r="B6" i="8"/>
  <c r="B7" i="8"/>
  <c r="B9" i="8"/>
  <c r="B10" i="8"/>
  <c r="B11" i="8"/>
  <c r="B12" i="8"/>
  <c r="B21" i="8"/>
  <c r="B22" i="8"/>
  <c r="B23" i="8"/>
  <c r="B24" i="8"/>
  <c r="B25" i="8"/>
  <c r="B51" i="8"/>
  <c r="B56" i="8"/>
  <c r="B57" i="8"/>
  <c r="B58" i="8"/>
  <c r="B59" i="8"/>
  <c r="B60" i="8"/>
  <c r="B61" i="8"/>
  <c r="B62" i="8"/>
  <c r="B63" i="8"/>
  <c r="B52" i="8"/>
  <c r="B53" i="8"/>
  <c r="B54" i="8"/>
  <c r="B55" i="8"/>
  <c r="B77" i="8"/>
  <c r="B79" i="8"/>
  <c r="B78" i="8"/>
  <c r="B36" i="8"/>
  <c r="B37" i="8"/>
  <c r="B38" i="8"/>
  <c r="B39" i="8"/>
  <c r="B40" i="8"/>
  <c r="B41" i="8"/>
  <c r="B13" i="8"/>
  <c r="B27" i="8"/>
  <c r="B28" i="8"/>
  <c r="B64" i="8"/>
  <c r="B65" i="8"/>
  <c r="B66" i="8"/>
  <c r="B68" i="8"/>
  <c r="B81" i="8"/>
  <c r="B80" i="8"/>
  <c r="B82" i="8"/>
  <c r="B43" i="8"/>
  <c r="B44" i="8"/>
  <c r="C5" i="9" l="1"/>
  <c r="C6" i="9"/>
  <c r="C7" i="9"/>
  <c r="C8" i="9"/>
  <c r="C4" i="9"/>
  <c r="B5" i="9"/>
  <c r="B6" i="9"/>
  <c r="B7" i="9"/>
  <c r="B8" i="9"/>
  <c r="B4" i="9"/>
  <c r="H15" i="8"/>
  <c r="H71" i="8"/>
  <c r="H84" i="8"/>
  <c r="H45" i="8"/>
  <c r="B83" i="8"/>
  <c r="H29" i="8"/>
  <c r="K53" i="1"/>
  <c r="I26" i="8" s="1"/>
  <c r="K49" i="1"/>
  <c r="I81" i="8" s="1"/>
  <c r="K45" i="1"/>
  <c r="I80" i="8" s="1"/>
  <c r="K41" i="1"/>
  <c r="I60" i="8" s="1"/>
  <c r="K37" i="1"/>
  <c r="I52" i="8" s="1"/>
  <c r="K33" i="1"/>
  <c r="I59" i="8" s="1"/>
  <c r="K29" i="1"/>
  <c r="I51" i="8" s="1"/>
  <c r="K25" i="1"/>
  <c r="I37" i="8" s="1"/>
  <c r="K21" i="1"/>
  <c r="I36" i="8" s="1"/>
  <c r="K17" i="1"/>
  <c r="I21" i="8" s="1"/>
  <c r="K13" i="1"/>
  <c r="I68" i="8" s="1"/>
  <c r="K8" i="1"/>
  <c r="I11" i="8" s="1"/>
  <c r="K4" i="1"/>
  <c r="I7" i="8" s="1"/>
  <c r="K51" i="1"/>
  <c r="I67" i="8" s="1"/>
  <c r="K47" i="1"/>
  <c r="I77" i="8" s="1"/>
  <c r="K43" i="1"/>
  <c r="I64" i="8" s="1"/>
  <c r="K39" i="1"/>
  <c r="I56" i="8" s="1"/>
  <c r="K35" i="1"/>
  <c r="I63" i="8" s="1"/>
  <c r="K31" i="1"/>
  <c r="I55" i="8" s="1"/>
  <c r="K27" i="1"/>
  <c r="I41" i="8" s="1"/>
  <c r="K23" i="1"/>
  <c r="I40" i="8" s="1"/>
  <c r="K19" i="1"/>
  <c r="I25" i="8" s="1"/>
  <c r="K15" i="1"/>
  <c r="I24" i="8" s="1"/>
  <c r="K11" i="1"/>
  <c r="K6" i="1"/>
  <c r="I9" i="8" s="1"/>
  <c r="K50" i="1"/>
  <c r="I83" i="8" s="1"/>
  <c r="K46" i="1"/>
  <c r="I82" i="8" s="1"/>
  <c r="K42" i="1"/>
  <c r="I62" i="8" s="1"/>
  <c r="K38" i="1"/>
  <c r="I54" i="8" s="1"/>
  <c r="K34" i="1"/>
  <c r="I61" i="8" s="1"/>
  <c r="K30" i="1"/>
  <c r="I53" i="8" s="1"/>
  <c r="K26" i="1"/>
  <c r="I39" i="8" s="1"/>
  <c r="K22" i="1"/>
  <c r="I38" i="8" s="1"/>
  <c r="K18" i="1"/>
  <c r="I23" i="8" s="1"/>
  <c r="K14" i="1"/>
  <c r="I22" i="8" s="1"/>
  <c r="K9" i="1"/>
  <c r="I12" i="8" s="1"/>
  <c r="K5" i="1"/>
  <c r="I8" i="8" s="1"/>
  <c r="K52" i="1"/>
  <c r="I69" i="8" s="1"/>
  <c r="K48" i="1"/>
  <c r="I79" i="8" s="1"/>
  <c r="K44" i="1"/>
  <c r="I78" i="8" s="1"/>
  <c r="K40" i="1"/>
  <c r="I58" i="8" s="1"/>
  <c r="K36" i="1"/>
  <c r="I65" i="8" s="1"/>
  <c r="K32" i="1"/>
  <c r="I57" i="8" s="1"/>
  <c r="K28" i="1"/>
  <c r="I44" i="8" s="1"/>
  <c r="K24" i="1"/>
  <c r="I43" i="8" s="1"/>
  <c r="K20" i="1"/>
  <c r="I28" i="8" s="1"/>
  <c r="K16" i="1"/>
  <c r="I27" i="8" s="1"/>
  <c r="K12" i="1"/>
  <c r="I66" i="8" s="1"/>
  <c r="K7" i="1"/>
  <c r="I10" i="8" s="1"/>
  <c r="K3" i="1"/>
  <c r="I6" i="8" s="1"/>
  <c r="E5" i="9"/>
  <c r="G5" i="9"/>
  <c r="H5" i="9" s="1"/>
  <c r="E6" i="9"/>
  <c r="G6" i="9"/>
  <c r="H6" i="9" s="1"/>
  <c r="E7" i="9"/>
  <c r="G7" i="9"/>
  <c r="H7" i="9" s="1"/>
  <c r="E8" i="9"/>
  <c r="G8" i="9"/>
  <c r="H8" i="9" s="1"/>
  <c r="G4" i="9"/>
  <c r="E4" i="9"/>
  <c r="E53" i="1"/>
  <c r="H53" i="1"/>
  <c r="C26" i="8" s="1"/>
  <c r="D74" i="8"/>
  <c r="D73" i="8"/>
  <c r="D48" i="8"/>
  <c r="D47" i="8"/>
  <c r="D33" i="8"/>
  <c r="D32" i="8"/>
  <c r="D18" i="8"/>
  <c r="D17" i="8"/>
  <c r="D3" i="8"/>
  <c r="D2" i="8"/>
  <c r="H4" i="1"/>
  <c r="C7" i="8" s="1"/>
  <c r="H5" i="1"/>
  <c r="C8" i="8" s="1"/>
  <c r="H6" i="1"/>
  <c r="C9" i="8" s="1"/>
  <c r="H7" i="1"/>
  <c r="C10" i="8" s="1"/>
  <c r="H8" i="1"/>
  <c r="C11" i="8" s="1"/>
  <c r="H9" i="1"/>
  <c r="C12" i="8" s="1"/>
  <c r="H11" i="1"/>
  <c r="H12" i="1"/>
  <c r="C66" i="8" s="1"/>
  <c r="H13" i="1"/>
  <c r="C68" i="8" s="1"/>
  <c r="H14" i="1"/>
  <c r="C22" i="8" s="1"/>
  <c r="H15" i="1"/>
  <c r="C24" i="8" s="1"/>
  <c r="H16" i="1"/>
  <c r="C27" i="8" s="1"/>
  <c r="H17" i="1"/>
  <c r="C21" i="8" s="1"/>
  <c r="H18" i="1"/>
  <c r="C23" i="8" s="1"/>
  <c r="H19" i="1"/>
  <c r="C25" i="8" s="1"/>
  <c r="H20" i="1"/>
  <c r="C28" i="8" s="1"/>
  <c r="H21" i="1"/>
  <c r="C36" i="8" s="1"/>
  <c r="H22" i="1"/>
  <c r="C38" i="8" s="1"/>
  <c r="H23" i="1"/>
  <c r="C40" i="8" s="1"/>
  <c r="H24" i="1"/>
  <c r="C43" i="8" s="1"/>
  <c r="H25" i="1"/>
  <c r="C37" i="8" s="1"/>
  <c r="H26" i="1"/>
  <c r="C39" i="8" s="1"/>
  <c r="H27" i="1"/>
  <c r="C41" i="8" s="1"/>
  <c r="H28" i="1"/>
  <c r="C44" i="8" s="1"/>
  <c r="H29" i="1"/>
  <c r="C51" i="8" s="1"/>
  <c r="H30" i="1"/>
  <c r="C53" i="8" s="1"/>
  <c r="H31" i="1"/>
  <c r="C55" i="8" s="1"/>
  <c r="H32" i="1"/>
  <c r="C57" i="8" s="1"/>
  <c r="H33" i="1"/>
  <c r="C59" i="8" s="1"/>
  <c r="H34" i="1"/>
  <c r="C61" i="8" s="1"/>
  <c r="H35" i="1"/>
  <c r="C63" i="8" s="1"/>
  <c r="H36" i="1"/>
  <c r="C65" i="8" s="1"/>
  <c r="H37" i="1"/>
  <c r="C52" i="8" s="1"/>
  <c r="H38" i="1"/>
  <c r="C54" i="8" s="1"/>
  <c r="H39" i="1"/>
  <c r="C56" i="8" s="1"/>
  <c r="H40" i="1"/>
  <c r="C58" i="8" s="1"/>
  <c r="H41" i="1"/>
  <c r="C60" i="8" s="1"/>
  <c r="H42" i="1"/>
  <c r="C62" i="8" s="1"/>
  <c r="H43" i="1"/>
  <c r="C64" i="8" s="1"/>
  <c r="H44" i="1"/>
  <c r="C78" i="8" s="1"/>
  <c r="H45" i="1"/>
  <c r="C80" i="8" s="1"/>
  <c r="H46" i="1"/>
  <c r="C82" i="8" s="1"/>
  <c r="H47" i="1"/>
  <c r="C77" i="8" s="1"/>
  <c r="H48" i="1"/>
  <c r="C79" i="8" s="1"/>
  <c r="H49" i="1"/>
  <c r="C81" i="8" s="1"/>
  <c r="H50" i="1"/>
  <c r="C83" i="8" s="1"/>
  <c r="H51" i="1"/>
  <c r="C67" i="8" s="1"/>
  <c r="H52" i="1"/>
  <c r="C69" i="8" s="1"/>
  <c r="E3" i="1"/>
  <c r="E4" i="1"/>
  <c r="E5" i="1"/>
  <c r="E6" i="1"/>
  <c r="E7" i="1"/>
  <c r="E8" i="1"/>
  <c r="E9" i="1"/>
  <c r="E11" i="1"/>
  <c r="E17" i="1"/>
  <c r="E14" i="1"/>
  <c r="E18" i="1"/>
  <c r="E15" i="1"/>
  <c r="E19" i="1"/>
  <c r="E16" i="1"/>
  <c r="E20" i="1"/>
  <c r="E21" i="1"/>
  <c r="E25" i="1"/>
  <c r="E22" i="1"/>
  <c r="E26" i="1"/>
  <c r="E23" i="1"/>
  <c r="E27" i="1"/>
  <c r="E24" i="1"/>
  <c r="E28" i="1"/>
  <c r="E29" i="1"/>
  <c r="E37" i="1"/>
  <c r="E30" i="1"/>
  <c r="E38" i="1"/>
  <c r="E31" i="1"/>
  <c r="E39" i="1"/>
  <c r="E32" i="1"/>
  <c r="E40" i="1"/>
  <c r="E33" i="1"/>
  <c r="E41" i="1"/>
  <c r="E34" i="1"/>
  <c r="E42" i="1"/>
  <c r="E35" i="1"/>
  <c r="E43" i="1"/>
  <c r="E36" i="1"/>
  <c r="E12" i="1"/>
  <c r="E51" i="1"/>
  <c r="E13" i="1"/>
  <c r="E52" i="1"/>
  <c r="E47" i="1"/>
  <c r="E44" i="1"/>
  <c r="E48" i="1"/>
  <c r="E45" i="1"/>
  <c r="E49" i="1"/>
  <c r="E46" i="1"/>
  <c r="E50" i="1"/>
  <c r="H4" i="9" l="1"/>
  <c r="H9" i="9" s="1"/>
  <c r="D71" i="8"/>
  <c r="E71" i="8"/>
  <c r="C13" i="8"/>
  <c r="C14" i="8"/>
  <c r="I13" i="8"/>
  <c r="I14" i="8"/>
  <c r="E29" i="8"/>
  <c r="F64" i="8"/>
  <c r="D84" i="8"/>
  <c r="E45" i="8"/>
  <c r="E84" i="8"/>
  <c r="D29" i="8"/>
  <c r="D45" i="8"/>
  <c r="F39" i="8"/>
  <c r="F41" i="8"/>
  <c r="F44" i="8"/>
  <c r="F81" i="8"/>
  <c r="F83" i="8"/>
  <c r="C6" i="8"/>
  <c r="F82" i="8"/>
  <c r="F65" i="8"/>
  <c r="F63" i="8"/>
  <c r="F77" i="8"/>
  <c r="F36" i="8"/>
  <c r="F62" i="8"/>
  <c r="G9" i="9"/>
  <c r="F7" i="9"/>
  <c r="F5" i="9"/>
  <c r="F8" i="9"/>
  <c r="F6" i="9"/>
  <c r="F4" i="9"/>
  <c r="E9" i="9"/>
  <c r="F22" i="8"/>
  <c r="F28" i="8"/>
  <c r="F56" i="8"/>
  <c r="F78" i="8"/>
  <c r="F59" i="8"/>
  <c r="F23" i="8"/>
  <c r="F51" i="8"/>
  <c r="F61" i="8"/>
  <c r="F21" i="8"/>
  <c r="F24" i="8"/>
  <c r="F27" i="8"/>
  <c r="F58" i="8"/>
  <c r="F37" i="8"/>
  <c r="F60" i="8"/>
  <c r="F79" i="8"/>
  <c r="F80" i="8"/>
  <c r="F53" i="8"/>
  <c r="F54" i="8"/>
  <c r="F57" i="8"/>
  <c r="F52" i="8"/>
  <c r="F55" i="8"/>
  <c r="F38" i="8"/>
  <c r="F43" i="8"/>
  <c r="F40" i="8"/>
  <c r="F25" i="8"/>
  <c r="F9" i="8"/>
  <c r="F8" i="8"/>
  <c r="D15" i="8"/>
  <c r="E15" i="8"/>
  <c r="F7" i="8"/>
  <c r="F66" i="8"/>
  <c r="F10" i="8"/>
  <c r="F13" i="8"/>
  <c r="F12" i="8"/>
  <c r="F68" i="8"/>
  <c r="F11" i="8"/>
  <c r="C2" i="4"/>
  <c r="C3" i="4"/>
  <c r="C4" i="4"/>
  <c r="C5" i="4"/>
  <c r="C6" i="4"/>
  <c r="C7" i="4"/>
  <c r="C8" i="4"/>
  <c r="C9" i="4"/>
  <c r="C10" i="4"/>
  <c r="C11" i="4"/>
  <c r="F71" i="8" l="1"/>
  <c r="F9" i="9"/>
  <c r="F84" i="8"/>
  <c r="F45" i="8"/>
  <c r="F29" i="8"/>
  <c r="F6" i="8"/>
  <c r="F15" i="8" s="1"/>
  <c r="D8" i="9" l="1"/>
  <c r="D4" i="9"/>
  <c r="D6" i="9"/>
  <c r="D5" i="9"/>
  <c r="D7" i="9"/>
  <c r="B9" i="9"/>
  <c r="C9" i="9"/>
  <c r="B40" i="6"/>
  <c r="B43" i="6"/>
  <c r="B42" i="6"/>
  <c r="B41" i="6"/>
  <c r="I8" i="6"/>
  <c r="J1" i="6" l="1"/>
  <c r="N1" i="6" s="1"/>
  <c r="D9" i="9"/>
  <c r="J8" i="6"/>
  <c r="B39" i="6"/>
  <c r="N2" i="6" l="1"/>
  <c r="M2" i="6"/>
  <c r="A8" i="6" a="1"/>
  <c r="S17" i="6" l="1"/>
  <c r="S16" i="6"/>
  <c r="S15" i="6"/>
  <c r="S14" i="6"/>
  <c r="S12" i="6"/>
  <c r="S13" i="6"/>
  <c r="S10" i="6"/>
  <c r="S11" i="6"/>
  <c r="S9" i="6"/>
  <c r="I18" i="6"/>
  <c r="J18" i="6" s="1"/>
  <c r="I19" i="6" s="1"/>
  <c r="J19" i="6" s="1"/>
  <c r="N23" i="6"/>
  <c r="N24" i="6"/>
  <c r="M22" i="6"/>
  <c r="N25" i="6"/>
  <c r="M18" i="6"/>
  <c r="N18" i="6" s="1"/>
  <c r="N27" i="6"/>
  <c r="M19" i="6"/>
  <c r="N19" i="6" s="1"/>
  <c r="N29" i="6"/>
  <c r="N30" i="6"/>
  <c r="N31" i="6"/>
  <c r="N32" i="6"/>
  <c r="N33" i="6"/>
  <c r="N26" i="6"/>
  <c r="N28" i="6"/>
  <c r="N20" i="6"/>
  <c r="L21" i="6" a="1"/>
  <c r="L21" i="6" s="1"/>
  <c r="M21" i="6" s="1"/>
  <c r="N21" i="6" s="1"/>
  <c r="N22" i="6"/>
  <c r="A8" i="6"/>
  <c r="I9" i="6"/>
  <c r="K9" i="6" s="1" a="1"/>
  <c r="K9" i="6" s="1"/>
  <c r="P8" i="6" l="1"/>
  <c r="S8" i="6"/>
  <c r="L8" i="6" a="1"/>
  <c r="L8" i="6" s="1"/>
  <c r="M8" i="6" s="1"/>
  <c r="J9" i="6"/>
  <c r="T16" i="6" l="1"/>
  <c r="T17" i="6"/>
  <c r="L9" i="6" a="1"/>
  <c r="L9" i="6" s="1"/>
  <c r="M9" i="6" s="1"/>
  <c r="N9" i="6" s="1"/>
  <c r="T8" i="6"/>
  <c r="T14" i="6"/>
  <c r="T15" i="6"/>
  <c r="T9" i="6"/>
  <c r="T10" i="6"/>
  <c r="T12" i="6"/>
  <c r="T11" i="6"/>
  <c r="T13" i="6"/>
  <c r="Q8" i="6"/>
  <c r="P9" i="6"/>
  <c r="I10" i="6"/>
  <c r="K10" i="6" s="1" a="1"/>
  <c r="K10" i="6" s="1"/>
  <c r="C9" i="6" l="1"/>
  <c r="D9" i="6" s="1"/>
  <c r="C8" i="6"/>
  <c r="D8" i="6" s="1"/>
  <c r="B9" i="6"/>
  <c r="B10" i="6" s="1"/>
  <c r="B11" i="6" s="1"/>
  <c r="B12" i="6" s="1"/>
  <c r="B13" i="6" s="1"/>
  <c r="B14" i="6" s="1"/>
  <c r="B15" i="6" s="1"/>
  <c r="B16" i="6" s="1"/>
  <c r="B17" i="6" s="1"/>
  <c r="Q9" i="6"/>
  <c r="N8" i="6"/>
  <c r="J10" i="6"/>
  <c r="P10" i="6" l="1"/>
  <c r="L10" i="6" a="1"/>
  <c r="L10" i="6" s="1"/>
  <c r="M10" i="6" s="1"/>
  <c r="E8" i="6"/>
  <c r="E9" i="6"/>
  <c r="O9" i="6"/>
  <c r="O8" i="6"/>
  <c r="I11" i="6"/>
  <c r="K11" i="6" s="1" a="1"/>
  <c r="K11" i="6" s="1"/>
  <c r="Q10" i="6" l="1"/>
  <c r="R8" i="6"/>
  <c r="H8" i="6" s="1"/>
  <c r="U8" i="6" s="1"/>
  <c r="C10" i="6"/>
  <c r="D10" i="6" s="1"/>
  <c r="F9" i="6"/>
  <c r="R9" i="6"/>
  <c r="H9" i="6" s="1"/>
  <c r="U9" i="6" s="1"/>
  <c r="F8" i="6"/>
  <c r="N10" i="6"/>
  <c r="J11" i="6"/>
  <c r="P11" i="6" l="1"/>
  <c r="L11" i="6" a="1"/>
  <c r="L11" i="6" s="1"/>
  <c r="M11" i="6" s="1"/>
  <c r="E10" i="6"/>
  <c r="O10" i="6"/>
  <c r="G8" i="6"/>
  <c r="I12" i="6"/>
  <c r="K12" i="6" s="1" a="1"/>
  <c r="K12" i="6" s="1"/>
  <c r="Q11" i="6" l="1"/>
  <c r="C11" i="6"/>
  <c r="F10" i="6"/>
  <c r="R10" i="6"/>
  <c r="H10" i="6" s="1"/>
  <c r="N11" i="6"/>
  <c r="J12" i="6"/>
  <c r="E11" i="6" l="1"/>
  <c r="U10" i="6"/>
  <c r="P12" i="6"/>
  <c r="L12" i="6" a="1"/>
  <c r="L12" i="6" s="1"/>
  <c r="M12" i="6" s="1"/>
  <c r="O11" i="6"/>
  <c r="I13" i="6"/>
  <c r="Q12" i="6" l="1"/>
  <c r="J13" i="6"/>
  <c r="L13" i="6" s="1" a="1"/>
  <c r="L13" i="6" s="1"/>
  <c r="K13" i="6" a="1"/>
  <c r="K13" i="6" s="1"/>
  <c r="C12" i="6"/>
  <c r="F11" i="6"/>
  <c r="R11" i="6"/>
  <c r="H11" i="6" s="1"/>
  <c r="N12" i="6"/>
  <c r="E12" i="6" l="1"/>
  <c r="P13" i="6"/>
  <c r="U11" i="6"/>
  <c r="I14" i="6"/>
  <c r="K14" i="6" s="1" a="1"/>
  <c r="K14" i="6" s="1"/>
  <c r="O12" i="6"/>
  <c r="M13" i="6"/>
  <c r="C13" i="6" s="1"/>
  <c r="Q13" i="6" l="1"/>
  <c r="J14" i="6"/>
  <c r="L14" i="6" s="1" a="1"/>
  <c r="L14" i="6" s="1"/>
  <c r="M14" i="6" s="1"/>
  <c r="C14" i="6" s="1"/>
  <c r="F12" i="6"/>
  <c r="R12" i="6"/>
  <c r="H12" i="6" s="1"/>
  <c r="N13" i="6"/>
  <c r="E13" i="6"/>
  <c r="P14" i="6" l="1"/>
  <c r="I15" i="6"/>
  <c r="K15" i="6" s="1" a="1"/>
  <c r="K15" i="6" s="1"/>
  <c r="U12" i="6"/>
  <c r="O13" i="6"/>
  <c r="R13" i="6" s="1"/>
  <c r="N14" i="6"/>
  <c r="Q14" i="6" l="1"/>
  <c r="E14" i="6" s="1"/>
  <c r="J15" i="6"/>
  <c r="L15" i="6" s="1" a="1"/>
  <c r="L15" i="6" s="1"/>
  <c r="M15" i="6" s="1"/>
  <c r="C15" i="6" s="1"/>
  <c r="H13" i="6"/>
  <c r="F13" i="6"/>
  <c r="O14" i="6"/>
  <c r="R14" i="6" l="1"/>
  <c r="P15" i="6"/>
  <c r="I16" i="6"/>
  <c r="K16" i="6" s="1" a="1"/>
  <c r="K16" i="6" s="1"/>
  <c r="U13" i="6"/>
  <c r="H14" i="6"/>
  <c r="U14" i="6" s="1"/>
  <c r="F14" i="6"/>
  <c r="N15" i="6"/>
  <c r="Q15" i="6" l="1"/>
  <c r="J16" i="6"/>
  <c r="E15" i="6"/>
  <c r="O15" i="6"/>
  <c r="I17" i="6"/>
  <c r="K17" i="6" s="1" a="1"/>
  <c r="K17" i="6" s="1"/>
  <c r="R15" i="6" l="1"/>
  <c r="H15" i="6" s="1"/>
  <c r="P16" i="6"/>
  <c r="L16" i="6" a="1"/>
  <c r="L16" i="6" s="1"/>
  <c r="M16" i="6" s="1"/>
  <c r="C16" i="6" s="1"/>
  <c r="F15" i="6"/>
  <c r="J17" i="6"/>
  <c r="L17" i="6" s="1" a="1"/>
  <c r="L17" i="6" s="1"/>
  <c r="Q16" i="6" l="1"/>
  <c r="E16" i="6" s="1"/>
  <c r="N16" i="6"/>
  <c r="O16" i="6" s="1"/>
  <c r="R16" i="6" s="1"/>
  <c r="H16" i="6" s="1"/>
  <c r="U15" i="6"/>
  <c r="M17" i="6"/>
  <c r="P17" i="6"/>
  <c r="Q17" i="6" s="1"/>
  <c r="N17" i="6" l="1"/>
  <c r="O17" i="6" s="1"/>
  <c r="C17" i="6"/>
  <c r="F16" i="6"/>
  <c r="U16" i="6"/>
  <c r="D14" i="6"/>
  <c r="G14" i="6" s="1"/>
  <c r="D15" i="6"/>
  <c r="G15" i="6" s="1"/>
  <c r="D13" i="6"/>
  <c r="G13" i="6" s="1"/>
  <c r="D16" i="6"/>
  <c r="D11" i="6"/>
  <c r="G11" i="6" s="1"/>
  <c r="D12" i="6"/>
  <c r="G12" i="6" s="1"/>
  <c r="G10" i="6"/>
  <c r="D17" i="6" l="1"/>
  <c r="V8" i="6" s="1" a="1"/>
  <c r="V8" i="6" s="1"/>
  <c r="E17" i="6"/>
  <c r="W8" i="6" s="1" a="1"/>
  <c r="W8" i="6" s="1"/>
  <c r="R17" i="6"/>
  <c r="H17" i="6" s="1"/>
  <c r="F17" i="6"/>
  <c r="G16" i="6"/>
  <c r="G9" i="6"/>
  <c r="U17" i="6" l="1"/>
  <c r="H6" i="6"/>
  <c r="D23" i="6" s="1"/>
  <c r="G17" i="6"/>
  <c r="Y8" i="6" s="1" a="1"/>
  <c r="Y8" i="6" s="1"/>
  <c r="X8" i="6" a="1"/>
  <c r="X8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tc={47694B1A-40A3-4507-A218-7F85A19C7C70}</author>
  </authors>
  <commentList>
    <comment ref="A44" authorId="0" shapeId="0" xr:uid="{47694B1A-40A3-4507-A218-7F85A19C7C70}">
      <text>
        <t>[Threaded comment]
Your version of Excel allows you to read this threaded comment; however, any edits to it will get removed if the file is opened in a newer version of Excel. Learn more: https://go.microsoft.com/fwlink/?linkid=870924
Comment:
    Hide this and look up dynamic figure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tc={3DF791F2-970D-428C-9708-827CB3BEA166}</author>
  </authors>
  <commentList>
    <comment ref="H3" authorId="0" shapeId="0" xr:uid="{3DF791F2-970D-428C-9708-827CB3BEA16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feeds what displays as make/model through workbooks -- type over these cells if you'd like to adjust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tc={21183E97-C82C-4261-818A-5A872551F84B}</author>
    <author>tc={A527AA76-6059-449D-91A4-E546FBDDE2C0}</author>
  </authors>
  <commentList>
    <comment ref="A1" authorId="0" shapeId="0" xr:uid="{21183E97-C82C-4261-818A-5A872551F84B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specific to year</t>
      </text>
    </comment>
    <comment ref="B12" authorId="1" shapeId="0" xr:uid="{A527AA76-6059-449D-91A4-E546FBDDE2C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Projected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<sst xmlns="http://schemas.openxmlformats.org/spreadsheetml/2006/main" count="5576" uniqueCount="682">
  <si>
    <t>How to use this workbook:</t>
  </si>
  <si>
    <t>Demo video :</t>
  </si>
  <si>
    <t>https://maqimzmnjbt5wavnbicv98tlhog-my.sharepoint.com/:v:/g/personal/george_stringfestanalytics_com/Edritq6pgIJJthIFER4bdsUBBecSj2Y-iw-KVQSzyc0o_g?e=WRNC7O</t>
  </si>
  <si>
    <t>Worksheets info:</t>
  </si>
  <si>
    <t>The red-colored worksheets contain actual data:</t>
  </si>
  <si>
    <t>fleetio</t>
  </si>
  <si>
    <t>data from Fleetio</t>
  </si>
  <si>
    <t>vehicle-data</t>
  </si>
  <si>
    <t>Various stats about each vehicle. Gray columns comes from fleetio or elsewhere, blue columns are calced</t>
  </si>
  <si>
    <t>maintenance-costs</t>
  </si>
  <si>
    <t>Mileage and maintenance costs for each vehicle by date</t>
  </si>
  <si>
    <t>locations-vehicles</t>
  </si>
  <si>
    <t>Mapping of vehicles to locations, used to drive drop-down in model</t>
  </si>
  <si>
    <t>fuel-costs</t>
  </si>
  <si>
    <t>Historic fuel costs per year</t>
  </si>
  <si>
    <t>The green-colored worksheet contains our model and analyses</t>
  </si>
  <si>
    <t>model</t>
  </si>
  <si>
    <t>The model to determine useful life of each vehicle</t>
  </si>
  <si>
    <t>summary-by-location</t>
  </si>
  <si>
    <t>An analysis of each vehicle by location</t>
  </si>
  <si>
    <t>grand-summary</t>
  </si>
  <si>
    <t>An overall analysis across locations</t>
  </si>
  <si>
    <t>The brown/yellow-colored worksheet contains hard-coded values from the model</t>
  </si>
  <si>
    <t>copied-data-all-vehicles</t>
  </si>
  <si>
    <t>This is copied from the model worksheet and drives the analyses by location</t>
  </si>
  <si>
    <t>Assumptions/Calculations:</t>
  </si>
  <si>
    <t>Upfront cost includes MSRP, upfit cost, maintenance</t>
  </si>
  <si>
    <t>The total cost of ownership per mile is a combination is calculated as
Total lifetime depreciation + total lifetime fuel + total lifetime maintenance /
Total lifetime miles driven</t>
  </si>
  <si>
    <t>Vehicle declines at straight-line for 5 years (or its current service life, whichever is less) until it hits current value from Carfax</t>
  </si>
  <si>
    <t>X-axis of chart is each year of service</t>
  </si>
  <si>
    <t>Y-axis of chart is the total cost of ownership decomposed into depreciation, fuel, and maintenance</t>
  </si>
  <si>
    <t xml:space="preserve">     The bars on chart are total amount of money used on depreciation, maintenance, and fuel divided by total number of miles driven lifetime-to-date.</t>
  </si>
  <si>
    <r>
      <t xml:space="preserve">The useful life is rounded </t>
    </r>
    <r>
      <rPr>
        <i/>
        <sz val="11"/>
        <color theme="1"/>
        <rFont val="Calibri"/>
        <family val="2"/>
        <scheme val="minor"/>
      </rPr>
      <t xml:space="preserve">up </t>
    </r>
    <r>
      <rPr>
        <sz val="11"/>
        <color theme="1"/>
        <rFont val="Calibri"/>
        <family val="2"/>
        <scheme val="minor"/>
      </rPr>
      <t xml:space="preserve">to the latest year, e.g. if the vehicle hits its useful life in Year 3 Month 2, we say it's a 4 year useful life. </t>
    </r>
  </si>
  <si>
    <t>Each year is 364 days, no accounting for leap years</t>
  </si>
  <si>
    <t>Fuel prices for the year of the car are taken from the year the period starts on</t>
  </si>
  <si>
    <t>Red-highlighted cells in maintenance-costs mean they were hard-coded to make up for illogical/missing data</t>
  </si>
  <si>
    <t>The useful life is determined by when the total lifetime cost of the vehicle exceeds its market value</t>
  </si>
  <si>
    <t>The odometer of each vehicle is assumed to start at 0 at beginning of year 1</t>
  </si>
  <si>
    <t>Task</t>
  </si>
  <si>
    <t>Owner</t>
  </si>
  <si>
    <t>Other notes</t>
  </si>
  <si>
    <t>Date</t>
  </si>
  <si>
    <t>Status</t>
  </si>
  <si>
    <t>Pictures - maybe</t>
  </si>
  <si>
    <t>Sean -- George will add a space</t>
  </si>
  <si>
    <t>TBD</t>
  </si>
  <si>
    <t>Confirm all vehicles are calcing right</t>
  </si>
  <si>
    <t>George</t>
  </si>
  <si>
    <t>Friday</t>
  </si>
  <si>
    <t>Done</t>
  </si>
  <si>
    <t>Fuel economy</t>
  </si>
  <si>
    <t xml:space="preserve">Sean </t>
  </si>
  <si>
    <t>Put in vehicle-data worksheet</t>
  </si>
  <si>
    <t>Custom/historical depreciation schedule</t>
  </si>
  <si>
    <t>Sean, maybe</t>
  </si>
  <si>
    <t>DT-06 missing upfront cost</t>
  </si>
  <si>
    <t>Sean</t>
  </si>
  <si>
    <t>May be gone, leave for now</t>
  </si>
  <si>
    <t>Clean up visible data on report</t>
  </si>
  <si>
    <t>Saturday</t>
  </si>
  <si>
    <t>Summary reports</t>
  </si>
  <si>
    <t>Monday</t>
  </si>
  <si>
    <t>Updated data for RV-04</t>
  </si>
  <si>
    <t>Add RV-04 (with new data) and RV-06 to reports</t>
  </si>
  <si>
    <t>Flip labels on chart</t>
  </si>
  <si>
    <t>Re-run with double-decline 5-year depreciation</t>
  </si>
  <si>
    <t>Check vehicle sales that are missing (vehicle-data worksheet)</t>
  </si>
  <si>
    <t>Add labels to chart</t>
  </si>
  <si>
    <t>Widen bars</t>
  </si>
  <si>
    <t>Straight-line 5 year depreciation</t>
  </si>
  <si>
    <t>Print area extends to all columns</t>
  </si>
  <si>
    <t>RV04, RV05</t>
  </si>
  <si>
    <t>Location</t>
  </si>
  <si>
    <t>Total fuel</t>
  </si>
  <si>
    <t>Total maintenance</t>
  </si>
  <si>
    <t>Total lifetime operating costs</t>
  </si>
  <si>
    <t>Number of vehicles</t>
  </si>
  <si>
    <t>Number of useful vehicles</t>
  </si>
  <si>
    <t>Number of vehicles to replace</t>
  </si>
  <si>
    <t>Percent to replace</t>
  </si>
  <si>
    <t>Austin</t>
  </si>
  <si>
    <t>Delaware</t>
  </si>
  <si>
    <t>Grand Rapids</t>
  </si>
  <si>
    <t>Redford</t>
  </si>
  <si>
    <t>South Bend</t>
  </si>
  <si>
    <t>Total</t>
  </si>
  <si>
    <t>% of vehicles to replace</t>
  </si>
  <si>
    <t>% of useful vehicles</t>
  </si>
  <si>
    <t>Location:</t>
  </si>
  <si>
    <t>Total number of vehicles:</t>
  </si>
  <si>
    <t>Number of vehicles needing replaced:</t>
  </si>
  <si>
    <t>Name of vehicle</t>
  </si>
  <si>
    <t>Make &amp; model</t>
  </si>
  <si>
    <t>Years in use</t>
  </si>
  <si>
    <t>Lifetime fuel costs</t>
  </si>
  <si>
    <t>Lifetime maintenance costs</t>
  </si>
  <si>
    <t>Useful life (years)</t>
  </si>
  <si>
    <t>Amount spent on vehicle beyond useful life</t>
  </si>
  <si>
    <t>Miles of useful life</t>
  </si>
  <si>
    <t>AT01</t>
  </si>
  <si>
    <t>AT02</t>
  </si>
  <si>
    <t>AT03</t>
  </si>
  <si>
    <t>AT04</t>
  </si>
  <si>
    <t>AT07</t>
  </si>
  <si>
    <t>AT08</t>
  </si>
  <si>
    <t>AT10</t>
  </si>
  <si>
    <t>AV01</t>
  </si>
  <si>
    <t>AV02</t>
  </si>
  <si>
    <t>DT01</t>
  </si>
  <si>
    <t>DT02</t>
  </si>
  <si>
    <t>DT03</t>
  </si>
  <si>
    <t>DT04</t>
  </si>
  <si>
    <t>DT05</t>
  </si>
  <si>
    <t>DT06</t>
  </si>
  <si>
    <t>DV01</t>
  </si>
  <si>
    <t>DV02</t>
  </si>
  <si>
    <t>GRT1</t>
  </si>
  <si>
    <t>GRT2</t>
  </si>
  <si>
    <t>GRT3</t>
  </si>
  <si>
    <t>GRT4</t>
  </si>
  <si>
    <t>GRT5</t>
  </si>
  <si>
    <t>GRT6</t>
  </si>
  <si>
    <t>GRV3</t>
  </si>
  <si>
    <t>GRV4</t>
  </si>
  <si>
    <t>GRV5</t>
  </si>
  <si>
    <t>RI01</t>
  </si>
  <si>
    <t>RI02</t>
  </si>
  <si>
    <t>RI03</t>
  </si>
  <si>
    <t>RT01</t>
  </si>
  <si>
    <t>RT03</t>
  </si>
  <si>
    <t>RT04</t>
  </si>
  <si>
    <t>RT05</t>
  </si>
  <si>
    <t>RT06</t>
  </si>
  <si>
    <t>RT07</t>
  </si>
  <si>
    <t>RT08</t>
  </si>
  <si>
    <t>RT10</t>
  </si>
  <si>
    <t>RT11</t>
  </si>
  <si>
    <t>RT12</t>
  </si>
  <si>
    <t>RV01</t>
  </si>
  <si>
    <t>RV02</t>
  </si>
  <si>
    <t>RV03</t>
  </si>
  <si>
    <t>RV04</t>
  </si>
  <si>
    <t>RV05</t>
  </si>
  <si>
    <t>RV06</t>
  </si>
  <si>
    <t>RV07</t>
  </si>
  <si>
    <t>SBT2</t>
  </si>
  <si>
    <t>SBT3</t>
  </si>
  <si>
    <t>SBT4</t>
  </si>
  <si>
    <t>SBV5</t>
  </si>
  <si>
    <t>SBV6</t>
  </si>
  <si>
    <t>SBV7</t>
  </si>
  <si>
    <t>SBV8</t>
  </si>
  <si>
    <t>Make &amp; model:</t>
  </si>
  <si>
    <t>Upfront cost:</t>
  </si>
  <si>
    <t>Total depreciation</t>
  </si>
  <si>
    <t>Vehicle name:</t>
  </si>
  <si>
    <t>Purchase date:</t>
  </si>
  <si>
    <t>Current value</t>
  </si>
  <si>
    <t>Year</t>
  </si>
  <si>
    <t>Vehicle asset value</t>
  </si>
  <si>
    <t>Total number of miles driven</t>
  </si>
  <si>
    <t>Depreciation CPM</t>
  </si>
  <si>
    <t>Maintenance CPM</t>
  </si>
  <si>
    <t>Fuel CPM</t>
  </si>
  <si>
    <t>Total cost of ownership per mile</t>
  </si>
  <si>
    <t>Asset value less fuel and maintenance</t>
  </si>
  <si>
    <t>Date from</t>
  </si>
  <si>
    <t>Date to</t>
  </si>
  <si>
    <t>Odometer start</t>
  </si>
  <si>
    <t>Odometer end</t>
  </si>
  <si>
    <t>Total miles</t>
  </si>
  <si>
    <t>Annual fuel costs</t>
  </si>
  <si>
    <t>Annual maintenance costs</t>
  </si>
  <si>
    <t>Total lifetime fuel and maintenance</t>
  </si>
  <si>
    <t>Depreciation</t>
  </si>
  <si>
    <t>Lifetime depreciation</t>
  </si>
  <si>
    <t>Asset value less lifetime fuel and maintenance costs</t>
  </si>
  <si>
    <t>Total depreciation / total miles driven</t>
  </si>
  <si>
    <t>Total maintenance / total miles driven</t>
  </si>
  <si>
    <t>Total fuel / total miles driven</t>
  </si>
  <si>
    <t>TPM array</t>
  </si>
  <si>
    <t>Add labels to chart of TPM</t>
  </si>
  <si>
    <t>Service life</t>
  </si>
  <si>
    <t>Last service date</t>
  </si>
  <si>
    <t>MSRP</t>
  </si>
  <si>
    <t>Upfit</t>
  </si>
  <si>
    <t>Insurance</t>
  </si>
  <si>
    <t>Fuel efficiency</t>
  </si>
  <si>
    <t>Vehicle</t>
  </si>
  <si>
    <t>Useful life</t>
  </si>
  <si>
    <t>Useful</t>
  </si>
  <si>
    <t>rt01</t>
  </si>
  <si>
    <t>sbt4</t>
  </si>
  <si>
    <t>sbv8</t>
  </si>
  <si>
    <t>Fleetio ID</t>
  </si>
  <si>
    <t>Group</t>
  </si>
  <si>
    <t>Make</t>
  </si>
  <si>
    <t>Model</t>
  </si>
  <si>
    <t>Trim</t>
  </si>
  <si>
    <t>Full_model</t>
  </si>
  <si>
    <t>Color</t>
  </si>
  <si>
    <t>Type</t>
  </si>
  <si>
    <t>Fuel Type</t>
  </si>
  <si>
    <t>Created Date</t>
  </si>
  <si>
    <t>Current Meter</t>
  </si>
  <si>
    <t>Current Meter Unit</t>
  </si>
  <si>
    <t>Current Meter Date</t>
  </si>
  <si>
    <t>Current Secondary Meter</t>
  </si>
  <si>
    <t>Current Secondary Meter Unit</t>
  </si>
  <si>
    <t>Current Secondary Meter Date</t>
  </si>
  <si>
    <t>Current Operator</t>
  </si>
  <si>
    <t>VIN/SN</t>
  </si>
  <si>
    <t>License Plate</t>
  </si>
  <si>
    <t>Registration State/Province</t>
  </si>
  <si>
    <t>Ownership</t>
  </si>
  <si>
    <t>Service Costs (lifetime)</t>
  </si>
  <si>
    <t>Fuel Costs (lifetime)</t>
  </si>
  <si>
    <t>Other Costs (lifetime)</t>
  </si>
  <si>
    <t>Cost/Meter (lifetime)</t>
  </si>
  <si>
    <t>Meter Usage per Day (lifetime)</t>
  </si>
  <si>
    <t>Secondary Meter Usage per Day (lifetime)</t>
  </si>
  <si>
    <t>Fuel Volume Unit</t>
  </si>
  <si>
    <t>Archived at</t>
  </si>
  <si>
    <t>System of measurement</t>
  </si>
  <si>
    <t>Automatically calculate primary meter usage per day</t>
  </si>
  <si>
    <t>Automatically calculate secondary meter usage per day</t>
  </si>
  <si>
    <t>Maintenance Grade</t>
  </si>
  <si>
    <t>Health</t>
  </si>
  <si>
    <t>Wrap Condition</t>
  </si>
  <si>
    <t>Body Type</t>
  </si>
  <si>
    <t>Body Subtype</t>
  </si>
  <si>
    <t>Drive Type</t>
  </si>
  <si>
    <t>Brake System</t>
  </si>
  <si>
    <t>Fuel Tank 1 Capacity</t>
  </si>
  <si>
    <t>Fuel Tank 2 Capacity</t>
  </si>
  <si>
    <t>Front Track Width</t>
  </si>
  <si>
    <t>Ground Clearance</t>
  </si>
  <si>
    <t>Height</t>
  </si>
  <si>
    <t>Length</t>
  </si>
  <si>
    <t>Rear Track Width</t>
  </si>
  <si>
    <t>Width</t>
  </si>
  <si>
    <t>Wheelbase</t>
  </si>
  <si>
    <t>Front Tire PSI</t>
  </si>
  <si>
    <t>Rear Tire PSI</t>
  </si>
  <si>
    <t>Towing Capacity</t>
  </si>
  <si>
    <t>Curb Weight</t>
  </si>
  <si>
    <t>Gross Vehicle Weight Rating</t>
  </si>
  <si>
    <t>Bed Length</t>
  </si>
  <si>
    <t>Max Payload</t>
  </si>
  <si>
    <t>Rear Axle</t>
  </si>
  <si>
    <t>Front Tire Type</t>
  </si>
  <si>
    <t>Front Wheel Diameter</t>
  </si>
  <si>
    <t>Rear Tire Type</t>
  </si>
  <si>
    <t>Rear Wheel Diameter</t>
  </si>
  <si>
    <t>EPA City</t>
  </si>
  <si>
    <t>EPA Highway</t>
  </si>
  <si>
    <t>EPA Combined</t>
  </si>
  <si>
    <t>Engine Summary</t>
  </si>
  <si>
    <t>Engine Brand</t>
  </si>
  <si>
    <t>Aspiration</t>
  </si>
  <si>
    <t>Block Type</t>
  </si>
  <si>
    <t>Bore</t>
  </si>
  <si>
    <t>Cam Type</t>
  </si>
  <si>
    <t>Compression</t>
  </si>
  <si>
    <t>Cylinders</t>
  </si>
  <si>
    <t>Displacement</t>
  </si>
  <si>
    <t>Fuel Induction</t>
  </si>
  <si>
    <t>Fuel Quality</t>
  </si>
  <si>
    <t>Max HP</t>
  </si>
  <si>
    <t>Max Torque</t>
  </si>
  <si>
    <t>Oil Capacity</t>
  </si>
  <si>
    <t>Redline RPM</t>
  </si>
  <si>
    <t>Stroke</t>
  </si>
  <si>
    <t>Valves</t>
  </si>
  <si>
    <t>Transmission Summary</t>
  </si>
  <si>
    <t>Transmission Brand</t>
  </si>
  <si>
    <t>Transmission Type</t>
  </si>
  <si>
    <t>Transmission Gears</t>
  </si>
  <si>
    <t>Cargo Volume</t>
  </si>
  <si>
    <t>Interior Volume</t>
  </si>
  <si>
    <t>Passenger Volume</t>
  </si>
  <si>
    <t>Duty type</t>
  </si>
  <si>
    <t>Acquisition Type</t>
  </si>
  <si>
    <t>Monthly Cost</t>
  </si>
  <si>
    <t>Acquisition Date</t>
  </si>
  <si>
    <t>Loan Amount</t>
  </si>
  <si>
    <t>Capitalized Cost</t>
  </si>
  <si>
    <t>Down Payment Amount</t>
  </si>
  <si>
    <t>Annual Percentage Rate</t>
  </si>
  <si>
    <t>First Payment Date</t>
  </si>
  <si>
    <t>Number of Payments</t>
  </si>
  <si>
    <t>Reference Number</t>
  </si>
  <si>
    <t>Residual Value</t>
  </si>
  <si>
    <t>Mileage Cap</t>
  </si>
  <si>
    <t>Mileage Charge</t>
  </si>
  <si>
    <t>Notes</t>
  </si>
  <si>
    <t>Acquisition End Date</t>
  </si>
  <si>
    <t>Generate Expenses</t>
  </si>
  <si>
    <t>Vendor Name</t>
  </si>
  <si>
    <t>Lender Name</t>
  </si>
  <si>
    <t>Purchase Date</t>
  </si>
  <si>
    <t>Purchase Price</t>
  </si>
  <si>
    <t>Purchase meter value</t>
  </si>
  <si>
    <t>Warranty Expiration Date</t>
  </si>
  <si>
    <t>Warranty Expiration Meter</t>
  </si>
  <si>
    <t>Purchase comment</t>
  </si>
  <si>
    <t>Purchase Vendor</t>
  </si>
  <si>
    <t>Linked Vehicles</t>
  </si>
  <si>
    <t>Milage source</t>
  </si>
  <si>
    <t>Ford</t>
  </si>
  <si>
    <t>F-150</t>
  </si>
  <si>
    <t>XL</t>
  </si>
  <si>
    <t>2014 Ford F-150 XL</t>
  </si>
  <si>
    <t>Pickup Truck</t>
  </si>
  <si>
    <t>Gasoline</t>
  </si>
  <si>
    <t>mi</t>
  </si>
  <si>
    <t>Active</t>
  </si>
  <si>
    <t>Sean Lynch</t>
  </si>
  <si>
    <t>1FTVX1CT2EKE13658</t>
  </si>
  <si>
    <t>DNM7265</t>
  </si>
  <si>
    <t>Texas</t>
  </si>
  <si>
    <t>Owned</t>
  </si>
  <si>
    <t>80.2mi</t>
  </si>
  <si>
    <t>us_gallons</t>
  </si>
  <si>
    <t>imperial</t>
  </si>
  <si>
    <t>Not Graded</t>
  </si>
  <si>
    <t>Unknown</t>
  </si>
  <si>
    <t>Fair</t>
  </si>
  <si>
    <t>Pickup</t>
  </si>
  <si>
    <t>Extended Cab</t>
  </si>
  <si>
    <t>4X2</t>
  </si>
  <si>
    <t>Hydraulic</t>
  </si>
  <si>
    <t>P235/75R17</t>
  </si>
  <si>
    <t>EcoBoost 3.5L Twin Turbo V6 365hp 420ft. lbs.</t>
  </si>
  <si>
    <t>EcoBoost</t>
  </si>
  <si>
    <t>Twin Turbocharger</t>
  </si>
  <si>
    <t>V</t>
  </si>
  <si>
    <t>DOHC</t>
  </si>
  <si>
    <t>Direct Injection</t>
  </si>
  <si>
    <t>6-Speed Automatic</t>
  </si>
  <si>
    <t>Automatic</t>
  </si>
  <si>
    <t>White</t>
  </si>
  <si>
    <t>Nickolas Sager</t>
  </si>
  <si>
    <t>1FTVX1CT0EKE13657</t>
  </si>
  <si>
    <t>DNM7263</t>
  </si>
  <si>
    <t>83.7mi</t>
  </si>
  <si>
    <t>Chevrolet</t>
  </si>
  <si>
    <t>Silverado 1500</t>
  </si>
  <si>
    <t>Work Truck</t>
  </si>
  <si>
    <t>2011 Chevrolet Silverado 1500 Work Truck</t>
  </si>
  <si>
    <t>Sal Medina</t>
  </si>
  <si>
    <t>1GCNCPE07BZ454033</t>
  </si>
  <si>
    <t>BH63598</t>
  </si>
  <si>
    <t>83.4mi</t>
  </si>
  <si>
    <t>Poor</t>
  </si>
  <si>
    <t>Regular Cab</t>
  </si>
  <si>
    <t>P245/70R17</t>
  </si>
  <si>
    <t>17.0 x 7.5</t>
  </si>
  <si>
    <t>Vortec 5.3L Flex Fuel V8 315hp 335ft. lbs.</t>
  </si>
  <si>
    <t>Vortec</t>
  </si>
  <si>
    <t>Naturally Aspirated</t>
  </si>
  <si>
    <t>OHV</t>
  </si>
  <si>
    <t>Sequential Port Fuel Injection</t>
  </si>
  <si>
    <t>6-Speed Shiftable Automatic</t>
  </si>
  <si>
    <t>Landon Kellogg</t>
  </si>
  <si>
    <t>1FTVX1CT9EKE13656</t>
  </si>
  <si>
    <t>DNM7261</t>
  </si>
  <si>
    <t>61.4mi</t>
  </si>
  <si>
    <t>Shane Murphy</t>
  </si>
  <si>
    <t>1GCNCPE00BZ240100</t>
  </si>
  <si>
    <t>BL99500</t>
  </si>
  <si>
    <t>76.4mi</t>
  </si>
  <si>
    <t>Inactive</t>
  </si>
  <si>
    <t>Unassigned</t>
  </si>
  <si>
    <t>1FTVX1CT4EKF56367</t>
  </si>
  <si>
    <t>Not yet entered</t>
  </si>
  <si>
    <t>99.7mi</t>
  </si>
  <si>
    <t>New</t>
  </si>
  <si>
    <t>2018 Ford F-150 XL</t>
  </si>
  <si>
    <t>Brian Rykowski</t>
  </si>
  <si>
    <t>1FTEW1C59JKE57428</t>
  </si>
  <si>
    <t>MTY1206</t>
  </si>
  <si>
    <t>49.8mi</t>
  </si>
  <si>
    <t>Crew Cab</t>
  </si>
  <si>
    <t>5.0L V8 395hp 400ft. lbs.</t>
  </si>
  <si>
    <t>10-Speed Shiftable Automatic</t>
  </si>
  <si>
    <t>Ram</t>
  </si>
  <si>
    <t>Ram Pickup 1500</t>
  </si>
  <si>
    <t>Tradesman</t>
  </si>
  <si>
    <t>2014 Ram Ram Pickup 1500 Tradesman</t>
  </si>
  <si>
    <t>Taylor Bartow</t>
  </si>
  <si>
    <t>1C6RR6FG9ES416362</t>
  </si>
  <si>
    <t>C491278</t>
  </si>
  <si>
    <t>133.3mi</t>
  </si>
  <si>
    <t>Good</t>
  </si>
  <si>
    <t>P265/70R17</t>
  </si>
  <si>
    <t>17.0 x 7.0</t>
  </si>
  <si>
    <t>3.6L Flex Fuel V6 305hp 269ft. lbs.</t>
  </si>
  <si>
    <t>Sequential Multiport Fuel Injection</t>
  </si>
  <si>
    <t>8-Speed Shiftable Automatic</t>
  </si>
  <si>
    <t>F-250 Super Duty</t>
  </si>
  <si>
    <t>2012 Ford F-250 Super Duty XL</t>
  </si>
  <si>
    <t>Justin Bahr</t>
  </si>
  <si>
    <t>1FT7X2A6XCEC79909</t>
  </si>
  <si>
    <t>C81733</t>
  </si>
  <si>
    <t>47.3mi</t>
  </si>
  <si>
    <t>LT245/75R17E</t>
  </si>
  <si>
    <t>6.2L Flex Fuel V8 385hp 405ft. lbs.</t>
  </si>
  <si>
    <t>SOHC</t>
  </si>
  <si>
    <t>Sequential Electronic Fuel Injection</t>
  </si>
  <si>
    <t>https://www.fuelly.com/car/ford/f-250_super_duty/2012</t>
  </si>
  <si>
    <t>1C6RR6FTXES457614</t>
  </si>
  <si>
    <t>CL45075</t>
  </si>
  <si>
    <t>34.2mi</t>
  </si>
  <si>
    <t>HEMI 5.7L V8 395hp 407ft. lbs.</t>
  </si>
  <si>
    <t>HEMI</t>
  </si>
  <si>
    <t>Eric Bartow</t>
  </si>
  <si>
    <t>1C6RR6FT1ES457615</t>
  </si>
  <si>
    <t>CL45030</t>
  </si>
  <si>
    <t>28.8mi</t>
  </si>
  <si>
    <t>Mike Hazell</t>
  </si>
  <si>
    <t>1FT7X2A66CED11853</t>
  </si>
  <si>
    <t>C75193</t>
  </si>
  <si>
    <t>49.2mi</t>
  </si>
  <si>
    <t>Michigan|Redford</t>
  </si>
  <si>
    <t>2013 Ford F-150 XL</t>
  </si>
  <si>
    <t>Stepehn Franklin</t>
  </si>
  <si>
    <t>1FTVX1CT9DKD87901</t>
  </si>
  <si>
    <t>CA30189</t>
  </si>
  <si>
    <t>Michigan</t>
  </si>
  <si>
    <t>77.8mi</t>
  </si>
  <si>
    <t>Out of Service</t>
  </si>
  <si>
    <t>1GCRCPE06BZ404452</t>
  </si>
  <si>
    <t>DC33909</t>
  </si>
  <si>
    <t>79.0mi</t>
  </si>
  <si>
    <t>GMC</t>
  </si>
  <si>
    <t>Sierra 2500HD</t>
  </si>
  <si>
    <t>2011 GMC Sierra 2500HD Work Truck</t>
  </si>
  <si>
    <t>Sold</t>
  </si>
  <si>
    <t>Caleb Schaf</t>
  </si>
  <si>
    <t>1GT11ZCGXBF185317</t>
  </si>
  <si>
    <t>CA27272</t>
  </si>
  <si>
    <t>117.7mi</t>
  </si>
  <si>
    <t>LT245/75R17</t>
  </si>
  <si>
    <t>6.0L V8 360hp 380ft. lbs.</t>
  </si>
  <si>
    <t>https://www.fuelly.com/car/gmc/sierra_2500_hd/2011</t>
  </si>
  <si>
    <t>2012 Ford F-150 XL</t>
  </si>
  <si>
    <t>Jon Lyons</t>
  </si>
  <si>
    <t>1FTVX1CTXCKE16756</t>
  </si>
  <si>
    <t>CA30385</t>
  </si>
  <si>
    <t>98.3mi</t>
  </si>
  <si>
    <t>Mike Jolly</t>
  </si>
  <si>
    <t>1FTVX1CT8DKD78980</t>
  </si>
  <si>
    <t>CA30390</t>
  </si>
  <si>
    <t>MI</t>
  </si>
  <si>
    <t>91.9mi</t>
  </si>
  <si>
    <t>Ryan Tumminello</t>
  </si>
  <si>
    <t>1FTVX1CT1DKF03012</t>
  </si>
  <si>
    <t>DB62682</t>
  </si>
  <si>
    <t>101.7mi</t>
  </si>
  <si>
    <t>Steve Wells</t>
  </si>
  <si>
    <t>1FTVX1CT5EKD13957</t>
  </si>
  <si>
    <t>DB78125</t>
  </si>
  <si>
    <t>64.6mi</t>
  </si>
  <si>
    <t>1FTVX1CT0EKD90218</t>
  </si>
  <si>
    <t>CE60222</t>
  </si>
  <si>
    <t>86.7mi</t>
  </si>
  <si>
    <t>1FTVX1CT5EKE30261</t>
  </si>
  <si>
    <t>CE60227</t>
  </si>
  <si>
    <t>87.1mi</t>
  </si>
  <si>
    <t>2011 Ford F-150 XL</t>
  </si>
  <si>
    <t>Terrance Smith</t>
  </si>
  <si>
    <t>1FTVX1CT0BKD70305</t>
  </si>
  <si>
    <t>CA28945</t>
  </si>
  <si>
    <t>66.0mi</t>
  </si>
  <si>
    <t>1FTVX1CT8DKF51879</t>
  </si>
  <si>
    <t>CE60278</t>
  </si>
  <si>
    <t>78.1mi</t>
  </si>
  <si>
    <t>1GT11ZCG6BF185279</t>
  </si>
  <si>
    <t>CA27271</t>
  </si>
  <si>
    <t>108.6mi</t>
  </si>
  <si>
    <t>1FTVX1CF3BKD43254</t>
  </si>
  <si>
    <t>CA28935</t>
  </si>
  <si>
    <t>109.1mi</t>
  </si>
  <si>
    <t>5.0L Flex Fuel V8 360hp 380ft. lbs.</t>
  </si>
  <si>
    <t>DT07</t>
  </si>
  <si>
    <t xml:space="preserve">2020 Ford F-250 Super Duty </t>
  </si>
  <si>
    <t>IN PROGRESS</t>
  </si>
  <si>
    <t>https://www.fuelly.com/car/ford/f-250_super_duty/2020</t>
  </si>
  <si>
    <t>DT08</t>
  </si>
  <si>
    <t xml:space="preserve">2015 Ford F-250 Super Duty </t>
  </si>
  <si>
    <t>https://www.fuelly.com/car/ford/f-250_super_duty/2015</t>
  </si>
  <si>
    <t>AT06</t>
  </si>
  <si>
    <t>Truck</t>
  </si>
  <si>
    <t>Flex Fuel</t>
  </si>
  <si>
    <t>1GCNCPE07BZ242135</t>
  </si>
  <si>
    <t>0.0mi</t>
  </si>
  <si>
    <t>SBT1</t>
  </si>
  <si>
    <t xml:space="preserve">2013 Ford F-150 </t>
  </si>
  <si>
    <t>1FTVX1CT3DKF03013</t>
  </si>
  <si>
    <t>1FTVX1CT7EKD13958</t>
  </si>
  <si>
    <t>Indiana</t>
  </si>
  <si>
    <t>35.7mi</t>
  </si>
  <si>
    <t>2019 Ford F-150 XL</t>
  </si>
  <si>
    <t>Jon Seman</t>
  </si>
  <si>
    <t>1FTFW1E55KFD07652</t>
  </si>
  <si>
    <t>62.4mi</t>
  </si>
  <si>
    <t>4X4</t>
  </si>
  <si>
    <t>P265/70R17 115T</t>
  </si>
  <si>
    <t>5.0L Flex Fuel V8 395hp 400ft. lbs.</t>
  </si>
  <si>
    <t>TJ Berkshire</t>
  </si>
  <si>
    <t>1FTFW1E58KFC75439</t>
  </si>
  <si>
    <t>378.7mi</t>
  </si>
  <si>
    <t>Michigan|Grand Rapids</t>
  </si>
  <si>
    <t>Dario Hilliard</t>
  </si>
  <si>
    <t>1FTVX1CT9EKD90217</t>
  </si>
  <si>
    <t>CA48883</t>
  </si>
  <si>
    <t>86.5mi</t>
  </si>
  <si>
    <t>1FTVX1CT7DKE69531</t>
  </si>
  <si>
    <t>CC82533</t>
  </si>
  <si>
    <t>89.2mi</t>
  </si>
  <si>
    <t>Jake Bowden</t>
  </si>
  <si>
    <t>1FTVX1CT9DKE69532</t>
  </si>
  <si>
    <t>CC82534</t>
  </si>
  <si>
    <t>74.1mi</t>
  </si>
  <si>
    <t>Excellent</t>
  </si>
  <si>
    <t>Christian Carrico</t>
  </si>
  <si>
    <t>1FTVX1CT4DKF51880</t>
  </si>
  <si>
    <t>CE60674</t>
  </si>
  <si>
    <t>85.3mi</t>
  </si>
  <si>
    <t>Ashlee Foster</t>
  </si>
  <si>
    <t>1FTVX1CT3EKD73106</t>
  </si>
  <si>
    <t>DA81367</t>
  </si>
  <si>
    <t>85.7mi</t>
  </si>
  <si>
    <t>1GT11ZCG0BF185553</t>
  </si>
  <si>
    <t>DC33910</t>
  </si>
  <si>
    <t>146.0mi</t>
  </si>
  <si>
    <t>RT13</t>
  </si>
  <si>
    <t>NEW</t>
  </si>
  <si>
    <t>1FT7X2B69LEE49319</t>
  </si>
  <si>
    <t>6.2L Flex Fuel V8 385hp 430ft. lbs.</t>
  </si>
  <si>
    <t>RT14</t>
  </si>
  <si>
    <t>1FT7X2B60LEE49323</t>
  </si>
  <si>
    <t>AT09</t>
  </si>
  <si>
    <t>1GCNCPE09BZ245909</t>
  </si>
  <si>
    <t>Transit Cargo</t>
  </si>
  <si>
    <t>2019 Ford Transit Cargo 350</t>
  </si>
  <si>
    <t>Van</t>
  </si>
  <si>
    <t>Billy Tackett</t>
  </si>
  <si>
    <t>1FTBW2YG7KKA70199</t>
  </si>
  <si>
    <t>MT1197</t>
  </si>
  <si>
    <t>77.3mi</t>
  </si>
  <si>
    <t>Full-Size</t>
  </si>
  <si>
    <t>Cargo</t>
  </si>
  <si>
    <t>RWD</t>
  </si>
  <si>
    <t>235/65R16C</t>
  </si>
  <si>
    <t>16.0 x 7.0</t>
  </si>
  <si>
    <t>EcoBoost 3.5L Twin Turbo V6 310hp 400ft. lbs.</t>
  </si>
  <si>
    <t>https://www.fuelly.com/car/ford/transit-250/2019</t>
  </si>
  <si>
    <t>Jeremy Malek</t>
  </si>
  <si>
    <t>1FTBW2YG9KKB79523</t>
  </si>
  <si>
    <t>MY59587</t>
  </si>
  <si>
    <t>2019 Ford Transit Cargo 250</t>
  </si>
  <si>
    <t>Bobby Strauss</t>
  </si>
  <si>
    <t>1FTYR2YM2KKA73955</t>
  </si>
  <si>
    <t>CL83023</t>
  </si>
  <si>
    <t>3.7L V6 275hp 260ft. lbs.</t>
  </si>
  <si>
    <t>Mike Cahill</t>
  </si>
  <si>
    <t>1FTYR2YM3KKA34405</t>
  </si>
  <si>
    <t>CL82995</t>
  </si>
  <si>
    <t>84.9mi</t>
  </si>
  <si>
    <t>2018 Ford Transit Cargo 250</t>
  </si>
  <si>
    <t>Mark Kucel</t>
  </si>
  <si>
    <t>1FTYR2ZM3JKA34692</t>
  </si>
  <si>
    <t>DB80420</t>
  </si>
  <si>
    <t>98.5mi</t>
  </si>
  <si>
    <t>Warranty: 3 yr/36,000 mi basic; 5 yr/60,000 mi powertrain</t>
  </si>
  <si>
    <t>Bill Brown Ford</t>
  </si>
  <si>
    <t>1FTYR2ZMXKKB45810</t>
  </si>
  <si>
    <t>DB79996</t>
  </si>
  <si>
    <t>63.2mi</t>
  </si>
  <si>
    <t>Logan Pickworth</t>
  </si>
  <si>
    <t>1FTYR2ZM5KKB45813</t>
  </si>
  <si>
    <t>DB79995</t>
  </si>
  <si>
    <t>139.7mi</t>
  </si>
  <si>
    <t>Jeff Parkes</t>
  </si>
  <si>
    <t>1FTYR2YM7KKB45586</t>
  </si>
  <si>
    <t>XP787386</t>
  </si>
  <si>
    <t>59.7mi</t>
  </si>
  <si>
    <t>Jason Landis</t>
  </si>
  <si>
    <t>1FTYR2YM6KKB04365</t>
  </si>
  <si>
    <t>XP787389</t>
  </si>
  <si>
    <t>75.3mi</t>
  </si>
  <si>
    <t>DV03</t>
  </si>
  <si>
    <t>1FTYR2YM0KKB37698</t>
  </si>
  <si>
    <t>73.0mi</t>
  </si>
  <si>
    <t>DV04</t>
  </si>
  <si>
    <t>1FTYR2YM5KKB14790</t>
  </si>
  <si>
    <t>2017 Ford Transit Cargo 250</t>
  </si>
  <si>
    <t>Andy Ginter</t>
  </si>
  <si>
    <t>1FTYR2CM9HKA04437</t>
  </si>
  <si>
    <t>62.5mi</t>
  </si>
  <si>
    <t>2016 Ford Transit Cargo 350</t>
  </si>
  <si>
    <t>Blaine Goodrich</t>
  </si>
  <si>
    <t>1FTBW2CM5GKA55804</t>
  </si>
  <si>
    <t>42.0mi</t>
  </si>
  <si>
    <t>3.7L Flex Fuel V6 275hp 260ft. lbs.</t>
  </si>
  <si>
    <t>John Burgh</t>
  </si>
  <si>
    <t>1FTYR2CM7HKA18806</t>
  </si>
  <si>
    <t>33.6mi</t>
  </si>
  <si>
    <t>AJ Johnson</t>
  </si>
  <si>
    <t>1FTYR2CM9HKA18807</t>
  </si>
  <si>
    <t>55.9mi</t>
  </si>
  <si>
    <t>1FTYR2ZM4KKA59232</t>
  </si>
  <si>
    <t>58.2mi</t>
  </si>
  <si>
    <t>Vincent Larink</t>
  </si>
  <si>
    <t>1FTYR2ZMXKKA85169</t>
  </si>
  <si>
    <t>30.0mi</t>
  </si>
  <si>
    <t>2020 Ford Transit Cargo 250</t>
  </si>
  <si>
    <t>1FTBR1Y86LKA33821</t>
  </si>
  <si>
    <t>87.9mi</t>
  </si>
  <si>
    <t>235/65R16C R</t>
  </si>
  <si>
    <t>16.0 x 6.5</t>
  </si>
  <si>
    <t>3.5L Flex Fuel V6 275hp 262ft. lbs.</t>
  </si>
  <si>
    <t>Mike Jones</t>
  </si>
  <si>
    <t>1FTBR1Y80LKA38755</t>
  </si>
  <si>
    <t>29.2mi</t>
  </si>
  <si>
    <t>Mike Brose</t>
  </si>
  <si>
    <t>1FTBR1Y89LKA58521</t>
  </si>
  <si>
    <t>84.6mi</t>
  </si>
  <si>
    <t>RV08</t>
  </si>
  <si>
    <t>Transit 250</t>
  </si>
  <si>
    <t xml:space="preserve">2020 Ford Transit 250 </t>
  </si>
  <si>
    <t>DV05</t>
  </si>
  <si>
    <t xml:space="preserve">   </t>
  </si>
  <si>
    <t>vehicle_name</t>
  </si>
  <si>
    <t>msrp</t>
  </si>
  <si>
    <t>upfit</t>
  </si>
  <si>
    <t>lifetime_insurance</t>
  </si>
  <si>
    <t>Total upfront</t>
  </si>
  <si>
    <t>location (George)</t>
  </si>
  <si>
    <t>Useful life (George)</t>
  </si>
  <si>
    <t>Duration of vehicle</t>
  </si>
  <si>
    <t>Mileage start</t>
  </si>
  <si>
    <t>Mileage at useful life</t>
  </si>
  <si>
    <t>Reported on?</t>
  </si>
  <si>
    <t>carfax_value</t>
  </si>
  <si>
    <t>SOLD</t>
  </si>
  <si>
    <t>DV06</t>
  </si>
  <si>
    <t>GRV6</t>
  </si>
  <si>
    <t>NEw</t>
  </si>
  <si>
    <t>RV09</t>
  </si>
  <si>
    <t>vehicle_vin</t>
  </si>
  <si>
    <t>meter_value</t>
  </si>
  <si>
    <t>amount</t>
  </si>
  <si>
    <t>date</t>
  </si>
  <si>
    <t>NA</t>
  </si>
  <si>
    <t>1FT7X2B65FEC71574</t>
  </si>
  <si>
    <t>1FTYR2YM2KKA34405</t>
  </si>
  <si>
    <t>ri02</t>
  </si>
  <si>
    <t>grv3</t>
  </si>
  <si>
    <t>location_name</t>
  </si>
  <si>
    <t>locations</t>
  </si>
  <si>
    <t>Grand_Rapids</t>
  </si>
  <si>
    <t>South_Bend</t>
  </si>
  <si>
    <t>year</t>
  </si>
  <si>
    <t>value</t>
  </si>
  <si>
    <t>gas-per-mile</t>
  </si>
  <si>
    <t>Month</t>
  </si>
  <si>
    <t>Value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</si>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</sst>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8" formatCode="&quot;$&quot;#,##0.00_);[Red]\(&quot;$&quot;#,##0.00\)"/>
    <numFmt numFmtId="164" formatCode="&quot;$&quot;#,##0"/>
    <numFmt numFmtId="165" formatCode="&quot;$&quot;#,##0.00"/>
    <numFmt numFmtId="166" formatCode=";;;"/>
    <numFmt numFmtId="167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3" borderId="3" xfId="0" applyFill="1" applyBorder="1"/>
    <xf numFmtId="0" fontId="0" fillId="3" borderId="2" xfId="0" applyFill="1" applyBorder="1"/>
    <xf numFmtId="0" fontId="0" fillId="0" borderId="3" xfId="0" applyBorder="1"/>
    <xf numFmtId="0" fontId="0" fillId="3" borderId="4" xfId="0" applyFill="1" applyBorder="1"/>
    <xf numFmtId="164" fontId="2" fillId="0" borderId="0" xfId="0" applyNumberFormat="1" applyFont="1" applyAlignment="1">
      <alignment wrapText="1"/>
    </xf>
    <xf numFmtId="0" fontId="2" fillId="0" borderId="0" xfId="0" applyFont="1"/>
    <xf numFmtId="14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4" borderId="0" xfId="0" applyFill="1"/>
    <xf numFmtId="0" fontId="0" fillId="5" borderId="0" xfId="0" applyFill="1"/>
    <xf numFmtId="3" fontId="0" fillId="0" borderId="0" xfId="0" applyNumberFormat="1"/>
    <xf numFmtId="14" fontId="0" fillId="4" borderId="0" xfId="0" applyNumberFormat="1" applyFill="1"/>
    <xf numFmtId="14" fontId="0" fillId="5" borderId="0" xfId="0" applyNumberFormat="1" applyFill="1"/>
    <xf numFmtId="164" fontId="0" fillId="0" borderId="9" xfId="0" applyNumberFormat="1" applyBorder="1"/>
    <xf numFmtId="0" fontId="0" fillId="5" borderId="0" xfId="0" applyFill="1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3" fillId="0" borderId="0" xfId="0" applyFont="1"/>
    <xf numFmtId="0" fontId="0" fillId="0" borderId="4" xfId="0" applyBorder="1"/>
    <xf numFmtId="3" fontId="0" fillId="0" borderId="0" xfId="0" applyNumberFormat="1" applyAlignment="1">
      <alignment horizontal="left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0" fillId="6" borderId="0" xfId="0" applyFill="1"/>
    <xf numFmtId="164" fontId="3" fillId="0" borderId="0" xfId="0" applyNumberFormat="1" applyFont="1"/>
    <xf numFmtId="22" fontId="0" fillId="0" borderId="0" xfId="0" applyNumberFormat="1"/>
    <xf numFmtId="4" fontId="0" fillId="0" borderId="0" xfId="0" applyNumberFormat="1"/>
    <xf numFmtId="8" fontId="0" fillId="0" borderId="0" xfId="0" applyNumberFormat="1"/>
    <xf numFmtId="0" fontId="5" fillId="0" borderId="0" xfId="1"/>
    <xf numFmtId="0" fontId="0" fillId="7" borderId="0" xfId="0" applyFill="1"/>
    <xf numFmtId="3" fontId="0" fillId="0" borderId="0" xfId="0" applyNumberFormat="1" applyAlignment="1">
      <alignment horizontal="right"/>
    </xf>
    <xf numFmtId="0" fontId="2" fillId="0" borderId="0" xfId="0" applyFont="1" applyAlignment="1">
      <alignment horizontal="right" wrapText="1"/>
    </xf>
    <xf numFmtId="3" fontId="3" fillId="0" borderId="0" xfId="0" applyNumberFormat="1" applyFont="1" applyAlignment="1">
      <alignment horizontal="right"/>
    </xf>
    <xf numFmtId="0" fontId="0" fillId="3" borderId="10" xfId="0" applyFill="1" applyBorder="1"/>
    <xf numFmtId="0" fontId="0" fillId="5" borderId="2" xfId="0" applyFill="1" applyBorder="1"/>
    <xf numFmtId="0" fontId="0" fillId="8" borderId="0" xfId="0" applyFill="1" applyAlignment="1">
      <alignment wrapText="1"/>
    </xf>
    <xf numFmtId="0" fontId="7" fillId="0" borderId="0" xfId="0" applyFont="1" applyAlignment="1">
      <alignment wrapText="1"/>
    </xf>
    <xf numFmtId="3" fontId="7" fillId="0" borderId="0" xfId="0" applyNumberFormat="1" applyFont="1" applyAlignment="1">
      <alignment wrapText="1"/>
    </xf>
    <xf numFmtId="14" fontId="7" fillId="0" borderId="0" xfId="0" applyNumberFormat="1" applyFont="1" applyAlignment="1">
      <alignment wrapText="1"/>
    </xf>
    <xf numFmtId="0" fontId="0" fillId="9" borderId="0" xfId="0" applyFill="1"/>
    <xf numFmtId="22" fontId="0" fillId="9" borderId="0" xfId="0" applyNumberFormat="1" applyFill="1"/>
    <xf numFmtId="3" fontId="0" fillId="9" borderId="0" xfId="0" applyNumberFormat="1" applyFill="1"/>
    <xf numFmtId="14" fontId="0" fillId="9" borderId="0" xfId="0" applyNumberFormat="1" applyFill="1"/>
    <xf numFmtId="8" fontId="0" fillId="9" borderId="0" xfId="0" applyNumberFormat="1" applyFill="1"/>
    <xf numFmtId="0" fontId="7" fillId="9" borderId="0" xfId="0" applyFont="1" applyFill="1" applyAlignment="1">
      <alignment wrapText="1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wrapText="1"/>
    </xf>
    <xf numFmtId="0" fontId="11" fillId="0" borderId="0" xfId="0" applyFont="1"/>
    <xf numFmtId="0" fontId="0" fillId="0" borderId="6" xfId="0" applyBorder="1" applyAlignment="1">
      <alignment wrapText="1"/>
    </xf>
    <xf numFmtId="166" fontId="0" fillId="0" borderId="0" xfId="0" applyNumberFormat="1"/>
    <xf numFmtId="0" fontId="0" fillId="0" borderId="0" xfId="0" applyAlignment="1">
      <alignment vertical="center" wrapText="1"/>
    </xf>
    <xf numFmtId="165" fontId="0" fillId="0" borderId="0" xfId="0" applyNumberFormat="1" applyAlignment="1">
      <alignment wrapText="1"/>
    </xf>
    <xf numFmtId="14" fontId="0" fillId="0" borderId="0" xfId="0" applyNumberFormat="1" applyAlignment="1">
      <alignment horizontal="left"/>
    </xf>
    <xf numFmtId="0" fontId="0" fillId="0" borderId="5" xfId="0" applyBorder="1"/>
    <xf numFmtId="3" fontId="0" fillId="0" borderId="8" xfId="0" applyNumberFormat="1" applyBorder="1" applyAlignment="1">
      <alignment wrapText="1"/>
    </xf>
    <xf numFmtId="0" fontId="0" fillId="0" borderId="5" xfId="0" applyBorder="1" applyAlignment="1">
      <alignment horizontal="left" wrapText="1"/>
    </xf>
    <xf numFmtId="164" fontId="0" fillId="0" borderId="7" xfId="0" applyNumberFormat="1" applyBorder="1" applyAlignment="1">
      <alignment horizontal="left" wrapText="1"/>
    </xf>
    <xf numFmtId="164" fontId="0" fillId="0" borderId="6" xfId="0" applyNumberFormat="1" applyBorder="1" applyAlignment="1">
      <alignment horizontal="left" wrapText="1"/>
    </xf>
    <xf numFmtId="165" fontId="0" fillId="0" borderId="8" xfId="0" applyNumberFormat="1" applyBorder="1" applyAlignment="1">
      <alignment wrapText="1"/>
    </xf>
    <xf numFmtId="0" fontId="0" fillId="0" borderId="7" xfId="0" applyBorder="1"/>
    <xf numFmtId="3" fontId="0" fillId="0" borderId="7" xfId="0" applyNumberFormat="1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wrapText="1"/>
    </xf>
    <xf numFmtId="3" fontId="0" fillId="0" borderId="6" xfId="0" applyNumberFormat="1" applyBorder="1" applyAlignment="1">
      <alignment wrapText="1"/>
    </xf>
    <xf numFmtId="164" fontId="0" fillId="0" borderId="5" xfId="0" applyNumberFormat="1" applyBorder="1" applyAlignment="1">
      <alignment wrapText="1"/>
    </xf>
    <xf numFmtId="164" fontId="0" fillId="0" borderId="6" xfId="0" applyNumberFormat="1" applyBorder="1" applyAlignment="1">
      <alignment wrapText="1"/>
    </xf>
    <xf numFmtId="167" fontId="0" fillId="0" borderId="0" xfId="0" applyNumberFormat="1"/>
    <xf numFmtId="167" fontId="3" fillId="0" borderId="0" xfId="0" applyNumberFormat="1" applyFont="1"/>
  </cellXfs>
  <cellStyles count="2">
    <cellStyle name="Hyperlink" xfId="1" builtinId="8"/>
    <cellStyle name="Normal" xfId="0" builtinId="0"/>
  </cellStyles>
  <dxfs count="41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12" formatCode="&quot;$&quot;#,##0.00_);[Red]\(&quot;$&quot;#,##0.00\)"/>
    </dxf>
    <dxf>
      <fill>
        <patternFill>
          <fgColor indexed="64"/>
          <bgColor theme="9" tint="0.79998168889431442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9" formatCode="m/d/yyyy"/>
    </dxf>
    <dxf>
      <numFmt numFmtId="3" formatCode="#,##0"/>
    </dxf>
    <dxf>
      <numFmt numFmtId="27" formatCode="m/d/yyyy\ h:mm"/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TableStyleMedium2" defaultPivotStyle="PivotStyleLight16">
    <tableStyle name="Invisible" pivot="0" table="0" count="0" xr9:uid="{2AFD129B-45EC-45CE-83CE-83D95F264662}"/>
    <tableStyle name="Stringfest" pivot="0" count="3" xr9:uid="{277D3631-B6CD-4114-90C0-1F0262BD53FC}">
      <tableStyleElement type="headerRow" dxfId="40"/>
      <tableStyleElement type="totalRow" dxfId="39"/>
      <tableStyleElement type="firstRowStripe" dxfId="38"/>
    </tableStyle>
  </tableStyles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of vehicles to replace by 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'grand-summary'!$D$16</c:f>
              <c:strCache>
                <c:ptCount val="1"/>
                <c:pt idx="0">
                  <c:v>% of vehicles to replace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'grand-summary'!$A$4:$A$9</c:f>
              <c:strCache>
                <c:ptCount val="6"/>
                <c:pt idx="0">
                  <c:v>Austin</c:v>
                </c:pt>
                <c:pt idx="1">
                  <c:v>Delaware</c:v>
                </c:pt>
                <c:pt idx="2">
                  <c:v>Grand Rapids</c:v>
                </c:pt>
                <c:pt idx="3">
                  <c:v>Redford</c:v>
                </c:pt>
                <c:pt idx="4">
                  <c:v>South Bend</c:v>
                </c:pt>
                <c:pt idx="5">
                  <c:v>Total</c:v>
                </c:pt>
              </c:strCache>
            </c:strRef>
          </c:cat>
          <c:val>
            <c:numRef>
              <c:f>'grand-summary'!$G$4:$G$9</c:f>
              <c:numCache>
                <c:formatCode>General</c:formatCode>
                <c:ptCount val="6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13</c:v>
                </c:pt>
                <c:pt idx="4">
                  <c:v>2</c:v>
                </c:pt>
                <c:pt idx="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4-41C0-84D6-613435972E07}"/>
            </c:ext>
          </c:extLst>
        </c:ser>
        <c:ser>
          <c:idx val="0"/>
          <c:order val="1"/>
          <c:tx>
            <c:strRef>
              <c:f>'grand-summary'!$D$17</c:f>
              <c:strCache>
                <c:ptCount val="1"/>
                <c:pt idx="0">
                  <c:v>% of useful vehicles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'grand-summary'!$A$4:$A$9</c:f>
              <c:strCache>
                <c:ptCount val="6"/>
                <c:pt idx="0">
                  <c:v>Austin</c:v>
                </c:pt>
                <c:pt idx="1">
                  <c:v>Delaware</c:v>
                </c:pt>
                <c:pt idx="2">
                  <c:v>Grand Rapids</c:v>
                </c:pt>
                <c:pt idx="3">
                  <c:v>Redford</c:v>
                </c:pt>
                <c:pt idx="4">
                  <c:v>South Bend</c:v>
                </c:pt>
                <c:pt idx="5">
                  <c:v>Total</c:v>
                </c:pt>
              </c:strCache>
            </c:strRef>
          </c:cat>
          <c:val>
            <c:numRef>
              <c:f>'grand-summary'!$F$4:$F$9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5</c:v>
                </c:pt>
                <c:pt idx="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4-41C0-84D6-613435972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9881471"/>
        <c:axId val="1264876223"/>
      </c:barChart>
      <c:catAx>
        <c:axId val="134988147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876223"/>
        <c:crosses val="autoZero"/>
        <c:auto val="1"/>
        <c:lblAlgn val="ctr"/>
        <c:lblOffset val="100"/>
        <c:noMultiLvlLbl val="0"/>
      </c:catAx>
      <c:valAx>
        <c:axId val="1264876223"/>
        <c:scaling>
          <c:orientation val="minMax"/>
        </c:scaling>
        <c:delete val="0"/>
        <c:axPos val="t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88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model!$D$23</c:f>
          <c:strCache>
            <c:ptCount val="1"/>
            <c:pt idx="0">
              <c:v>The useful life of this vehicle is 4 years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model!$V$7</c:f>
              <c:strCache>
                <c:ptCount val="1"/>
                <c:pt idx="0">
                  <c:v>Total depreciation / total miles driven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[0]!Dep_CPM</c:f>
              <c:numCache>
                <c:formatCode>"$"#,##0.00</c:formatCode>
                <c:ptCount val="9"/>
                <c:pt idx="0">
                  <c:v>0.2958338150845955</c:v>
                </c:pt>
                <c:pt idx="1">
                  <c:v>0.25521162349968413</c:v>
                </c:pt>
                <c:pt idx="2">
                  <c:v>0.24198734789096488</c:v>
                </c:pt>
                <c:pt idx="3">
                  <c:v>0.24669971637246002</c:v>
                </c:pt>
                <c:pt idx="4">
                  <c:v>0.24871205002754107</c:v>
                </c:pt>
                <c:pt idx="5">
                  <c:v>0.19548420285942761</c:v>
                </c:pt>
                <c:pt idx="6">
                  <c:v>0.16180779527393074</c:v>
                </c:pt>
                <c:pt idx="7">
                  <c:v>0.149920703744502</c:v>
                </c:pt>
                <c:pt idx="8">
                  <c:v>0.14018759862077027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7D-4170-B87C-56F5F3CBB146}"/>
            </c:ext>
          </c:extLst>
        </c:ser>
        <c:ser>
          <c:idx val="1"/>
          <c:order val="1"/>
          <c:tx>
            <c:strRef>
              <c:f>model!$W$7</c:f>
              <c:strCache>
                <c:ptCount val="1"/>
                <c:pt idx="0">
                  <c:v>Total maintenance / total miles driven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[0]!Maint_CPM</c:f>
              <c:numCache>
                <c:formatCode>"$"#,##0.00</c:formatCode>
                <c:ptCount val="9"/>
                <c:pt idx="0">
                  <c:v>6.4530003468609098E-2</c:v>
                </c:pt>
                <c:pt idx="1">
                  <c:v>4.8750041559996016E-2</c:v>
                </c:pt>
                <c:pt idx="2">
                  <c:v>6.1068073390639126E-2</c:v>
                </c:pt>
                <c:pt idx="3">
                  <c:v>6.6327786660667368E-2</c:v>
                </c:pt>
                <c:pt idx="4">
                  <c:v>6.0104915270712503E-2</c:v>
                </c:pt>
                <c:pt idx="5">
                  <c:v>5.0810510713940098E-2</c:v>
                </c:pt>
                <c:pt idx="6">
                  <c:v>6.2265477771453873E-2</c:v>
                </c:pt>
                <c:pt idx="7">
                  <c:v>6.4285435270036953E-2</c:v>
                </c:pt>
                <c:pt idx="8">
                  <c:v>6.3024662497808429E-2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7D-4170-B87C-56F5F3CBB146}"/>
            </c:ext>
          </c:extLst>
        </c:ser>
        <c:ser>
          <c:idx val="2"/>
          <c:order val="2"/>
          <c:tx>
            <c:strRef>
              <c:f>model!$X$7</c:f>
              <c:strCache>
                <c:ptCount val="1"/>
                <c:pt idx="0">
                  <c:v>Total fuel / total miles driven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6489991662491429E-2"/>
                  <c:y val="-0.14583332719928463"/>
                </c:manualLayout>
              </c:layout>
              <c:tx>
                <c:rich>
                  <a:bodyPr/>
                  <a:lstStyle/>
                  <a:p>
                    <a:fld id="{81AABA3A-9D0C-4884-B036-5FD563AE83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8413-4614-8F95-F7CEA93D895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AE7B962-5C3F-43C5-A838-DEFE692528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B7A-4384-871C-5EA56C645DE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AB87A55-4415-4592-AAF2-05896757DF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7E4-4CFC-93FE-24DC8A1DA1C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A16293A-A91A-4E14-8B0C-4838E5B9B7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7E4-4CFC-93FE-24DC8A1DA1C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8C95087-F35A-4C8B-90E6-09D8BF84EC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E4-4CFC-93FE-24DC8A1DA1C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10DE243-7246-4F24-B425-E067DD945D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E4-4CFC-93FE-24DC8A1DA1C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79C5A78-9628-456C-9412-7639650D00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7E4-4CFC-93FE-24DC8A1DA1C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B7AFFCF-7CEB-4CB0-963A-610D1560C4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7E4-4CFC-93FE-24DC8A1DA1C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2A09AA7-535C-4A55-A3B5-CF74BFFA87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7E4-4CFC-93FE-24DC8A1DA1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[0]!Fuel_CPM</c:f>
              <c:numCache>
                <c:formatCode>"$"#,##0.00</c:formatCode>
                <c:ptCount val="9"/>
                <c:pt idx="0">
                  <c:v>0.25846153846153846</c:v>
                </c:pt>
                <c:pt idx="1">
                  <c:v>0.21778068342536208</c:v>
                </c:pt>
                <c:pt idx="2">
                  <c:v>0.19822234311368631</c:v>
                </c:pt>
                <c:pt idx="3">
                  <c:v>0.19538148182255879</c:v>
                </c:pt>
                <c:pt idx="4">
                  <c:v>0.19910274937129099</c:v>
                </c:pt>
                <c:pt idx="5">
                  <c:v>0.19929477351861771</c:v>
                </c:pt>
                <c:pt idx="6">
                  <c:v>0.19358552764927267</c:v>
                </c:pt>
                <c:pt idx="7">
                  <c:v>0.19349165240896554</c:v>
                </c:pt>
                <c:pt idx="8">
                  <c:v>0.19341478772089929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[0]!TPM_array</c15:f>
                <c15:dlblRangeCache>
                  <c:ptCount val="9"/>
                  <c:pt idx="0">
                    <c:v>$0.62</c:v>
                  </c:pt>
                  <c:pt idx="1">
                    <c:v>$0.52</c:v>
                  </c:pt>
                  <c:pt idx="2">
                    <c:v>$0.50</c:v>
                  </c:pt>
                  <c:pt idx="3">
                    <c:v>$0.51</c:v>
                  </c:pt>
                  <c:pt idx="4">
                    <c:v>$0.51</c:v>
                  </c:pt>
                  <c:pt idx="5">
                    <c:v>$0.45</c:v>
                  </c:pt>
                  <c:pt idx="6">
                    <c:v>$0.42</c:v>
                  </c:pt>
                  <c:pt idx="7">
                    <c:v>$0.41</c:v>
                  </c:pt>
                  <c:pt idx="8">
                    <c:v>$0.40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297D-4170-B87C-56F5F3CBB1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2"/>
        <c:overlap val="100"/>
        <c:axId val="20894943"/>
        <c:axId val="1572022079"/>
      </c:barChart>
      <c:catAx>
        <c:axId val="20894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022079"/>
        <c:crosses val="autoZero"/>
        <c:auto val="1"/>
        <c:lblAlgn val="ctr"/>
        <c:lblOffset val="100"/>
        <c:noMultiLvlLbl val="0"/>
      </c:catAx>
      <c:valAx>
        <c:axId val="1572022079"/>
        <c:scaling>
          <c:orientation val="minMax"/>
        </c:scaling>
        <c:delete val="0"/>
        <c:axPos val="l"/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750570</xdr:colOff>
      <xdr:row>10</xdr:row>
      <xdr:rowOff>154305</xdr:rowOff>
    </xdr:from>
    <xdr:to>
      <xdr:col>7</xdr:col>
      <xdr:colOff>7620</xdr:colOff>
      <xdr:row>25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4934EA-B211-4122-BCEE-7921DB373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896217</xdr:colOff>
      <xdr:row>17</xdr:row>
      <xdr:rowOff>175739</xdr:rowOff>
    </xdr:from>
    <xdr:to>
      <xdr:col>13</xdr:col>
      <xdr:colOff>539462</xdr:colOff>
      <xdr:row>36</xdr:row>
      <xdr:rowOff>52954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81F8DA-EB69-4385-82F1-2A790911A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eorge" id="{6F2459C8-189C-4A15-99B3-99A207BA6CC0}" userId="George" providerId="None"/>
  <person displayName="George Mount" id="{CED719F7-C483-4D10-80FE-53E254FD6860}" userId="George Mount" providerId="None"/>
  <person displayName="Guest User" id="{FBD79ED3-6A2A-4DF4-B664-DB83CECAE375}" userId="S::urn:spo:anon#14cb93588e235bede8735bf9ba79738a889b68b0c781ce9234c3fc021a914925::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B82AA17-4A5F-4B66-9D0D-3C356C7F510B}" name="vehicle_data" displayName="vehicle_data" ref="A2:X278" totalsRowShown="0">
  <tableColumns count="24">
    <tableColumn id="1" xr3:uid="{9FE940C8-D923-4F0A-A6F2-6BC72B2E2975}" name="Vehicle"/>
    <tableColumn id="2" xr3:uid="{D96FEED5-5AFD-48ED-9C83-A4C8BBF1A9A0}" name="Year"/>
    <tableColumn id="3" xr3:uid="{AD2E0039-207B-491E-A97B-4A79B4F0DA6F}" name="Vehicle asset value"/>
    <tableColumn id="4" xr3:uid="{0530F483-97FA-45F8-9104-6E249441D527}" name="Total number of miles driven"/>
    <tableColumn id="5" xr3:uid="{1F6AA4FC-C123-468E-8C1A-E8C48FD24B92}" name="Depreciation CPM"/>
    <tableColumn id="6" xr3:uid="{2D0D7D8C-8E32-4967-99EC-AC5CB8295641}" name="Maintenance CPM"/>
    <tableColumn id="7" xr3:uid="{09B184C0-4C75-4007-AFB9-5142246C1256}" name="Fuel CPM"/>
    <tableColumn id="8" xr3:uid="{A0F55D47-535E-4419-B149-78E8B59F4245}" name="Total cost of ownership per mile"/>
    <tableColumn id="9" xr3:uid="{BB72A1F1-AC5A-490B-95B8-46E9FD81B5AD}" name="Asset value less fuel and maintenance"/>
    <tableColumn id="10" xr3:uid="{352E80EA-4940-466E-AC65-2C55A2E1936F}" name="Date from"/>
    <tableColumn id="11" xr3:uid="{E659ADA7-79D4-4CCB-AABF-D6B2FB5009E7}" name="Date to"/>
    <tableColumn id="12" xr3:uid="{B0F39070-11B0-4206-9930-8EA1B1516220}" name="Odometer start"/>
    <tableColumn id="13" xr3:uid="{892B2391-2848-4C35-8E36-5C5A625C4200}" name="Odometer end"/>
    <tableColumn id="14" xr3:uid="{E0A3757D-7190-4FC9-92EC-CB44385201DA}" name="Total miles"/>
    <tableColumn id="15" xr3:uid="{17813069-2E62-4271-8182-52E1BE4BF4CF}" name="Annual fuel costs"/>
    <tableColumn id="16" xr3:uid="{A32FE982-7613-46A6-8FDA-B784DE07A3E3}" name="Lifetime fuel costs"/>
    <tableColumn id="17" xr3:uid="{31980630-7D7B-4963-812D-AC4AF662F278}" name="Annual maintenance costs"/>
    <tableColumn id="18" xr3:uid="{C6216360-46D6-43B8-A7D9-BFEFFC812EA4}" name="Lifetime maintenance costs"/>
    <tableColumn id="19" xr3:uid="{E9C5AEC2-7893-498F-9014-7A855A0CB896}" name="Total lifetime fuel and maintenance"/>
    <tableColumn id="20" xr3:uid="{6E33BB2D-4D50-4A76-B130-EF0622B95F79}" name="Depreciation"/>
    <tableColumn id="21" xr3:uid="{68EDB946-20E6-47F0-A9E6-52BCA1455355}" name="Lifetime depreciation"/>
    <tableColumn id="24" xr3:uid="{867F4363-3B24-476E-8F25-450C5A85B4ED}" name="Asset value less lifetime fuel and maintenance costs"/>
    <tableColumn id="22" xr3:uid="{5BCC0136-E336-4DE7-BC1C-7CCAAFCB7DCA}" name="Location" dataDxfId="37">
      <calculatedColumnFormula>VLOOKUP(vehicle_data[[#This Row],[Vehicle]],upfront[],6,FALSE)</calculatedColumnFormula>
    </tableColumn>
    <tableColumn id="23" xr3:uid="{CF62DC15-CD73-43F5-BB06-1DD9AE233E49}" name="Useful lif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A81F5AB-5787-42B3-BC86-B9501528A9FA}" name="fleetio" displayName="fleetio" ref="A3:DO67" totalsRowShown="0">
  <tableColumns count="119">
    <tableColumn id="2" xr3:uid="{7A9A8B7F-BB8A-453A-9C99-E6B333148FD4}" name="Vehicle"/>
    <tableColumn id="1" xr3:uid="{42863749-8990-436A-96C0-BAE5F6AC8ED2}" name="Fleetio ID"/>
    <tableColumn id="3" xr3:uid="{B5EE3D84-FCDC-4FCD-BEA0-E124B26D10B6}" name="Group"/>
    <tableColumn id="4" xr3:uid="{D220E868-F780-4AB7-9E87-9D39A4669688}" name="Year"/>
    <tableColumn id="5" xr3:uid="{201A458E-FCA6-4E2E-9D4E-DEDC19707B9A}" name="Make"/>
    <tableColumn id="6" xr3:uid="{AC7BF714-DFC4-4B34-AD0C-73BC890D5BD7}" name="Model"/>
    <tableColumn id="7" xr3:uid="{F7C67401-6D48-461B-BC69-4B655826645E}" name="Trim"/>
    <tableColumn id="118" xr3:uid="{88F32980-BF0A-4151-8BDF-818091651CAF}" name="Full_model" dataDxfId="36"/>
    <tableColumn id="8" xr3:uid="{86FE5583-711B-46D2-9E2E-CC88DE9A7BD0}" name="Color"/>
    <tableColumn id="9" xr3:uid="{5B0408A5-1E7D-485A-A703-DC4D64030A52}" name="Type"/>
    <tableColumn id="10" xr3:uid="{AC4B230A-D282-4B72-9DB8-057E4282CE78}" name="Fuel Type"/>
    <tableColumn id="11" xr3:uid="{C99B9C1C-B518-47FD-8443-181B606FD7A4}" name="Created Date" dataDxfId="35"/>
    <tableColumn id="12" xr3:uid="{32D3E0AD-17B8-4EFD-A4EF-E19ED4EDA8C8}" name="Current Meter" dataDxfId="34"/>
    <tableColumn id="13" xr3:uid="{6209910A-C8FA-482B-ADF5-BF269DB06AB7}" name="Current Meter Unit"/>
    <tableColumn id="14" xr3:uid="{57C9D72D-023E-4CAE-ABAE-0F54EA1ECC9A}" name="Current Meter Date" dataDxfId="33"/>
    <tableColumn id="15" xr3:uid="{8073B715-74E1-4F2F-9D14-5A959F630EE3}" name="Current Secondary Meter"/>
    <tableColumn id="16" xr3:uid="{007C8BCD-BFEC-42D8-8CB9-B3E3BBC10A16}" name="Current Secondary Meter Unit"/>
    <tableColumn id="17" xr3:uid="{DBC88988-5060-487D-865F-0BB8E9770481}" name="Current Secondary Meter Date"/>
    <tableColumn id="18" xr3:uid="{9F5F80E2-C7A6-40B7-925E-F39ACD28CE99}" name="Status"/>
    <tableColumn id="19" xr3:uid="{4C2030B7-B7F7-4088-98BE-F595EFC2A831}" name="Current Operator"/>
    <tableColumn id="20" xr3:uid="{AE660464-E1C4-447F-8EA0-84DA06C808C4}" name="VIN/SN"/>
    <tableColumn id="21" xr3:uid="{C576AB43-483D-43EC-AC3A-1D8589D1C96D}" name="License Plate"/>
    <tableColumn id="22" xr3:uid="{28DB10C0-32F8-468A-BF25-BAA021B5E5E8}" name="Registration State/Province"/>
    <tableColumn id="23" xr3:uid="{0536C5BA-0F01-4696-A72A-625EC74F94B7}" name="Ownership"/>
    <tableColumn id="24" xr3:uid="{2E40AAB0-EA87-44D7-A6CE-E2FE1C881989}" name="Service Costs (lifetime)" dataDxfId="32"/>
    <tableColumn id="25" xr3:uid="{4C1FA485-87E1-4178-91A6-C374E0F7F9CD}" name="Fuel Costs (lifetime)" dataDxfId="31"/>
    <tableColumn id="26" xr3:uid="{224457E3-7F66-40B6-A60D-44855E8FF624}" name="Other Costs (lifetime)" dataDxfId="30"/>
    <tableColumn id="27" xr3:uid="{D52D87A8-3396-4C1C-9708-E9DC5165EBD7}" name="Cost/Meter (lifetime)" dataDxfId="29"/>
    <tableColumn id="28" xr3:uid="{40E0AE24-EBC4-42D9-AB36-04BF25FEB8F4}" name="Meter Usage per Day (lifetime)"/>
    <tableColumn id="29" xr3:uid="{B33A6118-3842-4A21-9B1F-155C946A94C9}" name="Secondary Meter Usage per Day (lifetime)"/>
    <tableColumn id="30" xr3:uid="{BC9BB2BC-353E-4D99-A88E-C70BC5A3618B}" name="Fuel Volume Unit"/>
    <tableColumn id="31" xr3:uid="{1DF8ECCD-8255-4EBA-8815-006DA9342773}" name="Archived at"/>
    <tableColumn id="32" xr3:uid="{8A41E908-F859-473B-82ED-6D4FFF80D4FA}" name="System of measurement"/>
    <tableColumn id="33" xr3:uid="{305F257A-7729-4A90-81B8-8BEF1C353F29}" name="Automatically calculate primary meter usage per day"/>
    <tableColumn id="34" xr3:uid="{9AE6F5CC-787E-4A08-97A0-3D422BBE80C5}" name="Automatically calculate secondary meter usage per day"/>
    <tableColumn id="35" xr3:uid="{26855673-7467-4311-A5D9-3E33C7987630}" name="Maintenance Grade"/>
    <tableColumn id="36" xr3:uid="{BE6EB7D2-5959-4D3B-BADD-6009E5EB62E9}" name="Health"/>
    <tableColumn id="37" xr3:uid="{14F50ACF-B7F7-448B-9BEB-39CC94B98C10}" name="Wrap Condition"/>
    <tableColumn id="38" xr3:uid="{139A7062-BF8B-4E37-BBB3-ED611BE6C073}" name="Body Type"/>
    <tableColumn id="39" xr3:uid="{B0C484B7-2833-40E0-98E8-0A12331B2755}" name="Body Subtype"/>
    <tableColumn id="40" xr3:uid="{68C5A1F1-9B5C-4C6F-B95F-B38B0CD345BC}" name="Drive Type"/>
    <tableColumn id="41" xr3:uid="{2B07E496-AD56-4094-AF6D-1824CF90B29B}" name="Brake System"/>
    <tableColumn id="42" xr3:uid="{C3E4FB2B-0470-4C64-866D-E2BF3D0BE6F6}" name="MSRP" dataDxfId="28"/>
    <tableColumn id="43" xr3:uid="{8CFA9967-C56A-4D4F-A80D-31E5E3BFCDE9}" name="Fuel Tank 1 Capacity"/>
    <tableColumn id="44" xr3:uid="{F9DFA638-152F-4F9C-AC78-F89ABEB2CC09}" name="Fuel Tank 2 Capacity"/>
    <tableColumn id="45" xr3:uid="{1B0FAF88-580E-48CC-9B9A-C70C84726D12}" name="Front Track Width"/>
    <tableColumn id="46" xr3:uid="{04CA80CD-3F66-4C07-973E-E6895AB47180}" name="Ground Clearance"/>
    <tableColumn id="47" xr3:uid="{72A03F3B-F742-4078-B8F0-A0C906C2E9F3}" name="Height"/>
    <tableColumn id="48" xr3:uid="{F90C6302-CF74-43B0-9F41-BB5C9049921D}" name="Length"/>
    <tableColumn id="49" xr3:uid="{B124E771-AAF0-4F15-A420-8F8BE0BD648D}" name="Rear Track Width"/>
    <tableColumn id="50" xr3:uid="{A49353CB-AB86-4864-855A-566F799DDA3F}" name="Width"/>
    <tableColumn id="51" xr3:uid="{80574B47-A2A6-4E7C-A98B-59A12151A079}" name="Wheelbase"/>
    <tableColumn id="52" xr3:uid="{13B6930D-3A48-4040-9B70-688366FB89EC}" name="Front Tire PSI"/>
    <tableColumn id="53" xr3:uid="{F9800AF0-8145-4904-A78C-4328992C9A0C}" name="Rear Tire PSI"/>
    <tableColumn id="54" xr3:uid="{7790CA93-809B-4C6F-84D1-0CB5E8C24239}" name="Towing Capacity"/>
    <tableColumn id="55" xr3:uid="{9EF2D146-085F-44B8-9270-106603748527}" name="Curb Weight" dataDxfId="27"/>
    <tableColumn id="56" xr3:uid="{C9CA5CD8-C41B-4479-BC9D-30B8D985EFBB}" name="Gross Vehicle Weight Rating" dataDxfId="26"/>
    <tableColumn id="57" xr3:uid="{18009902-7283-4739-8D7F-3C7ED17659FE}" name="Bed Length"/>
    <tableColumn id="58" xr3:uid="{8C8B6CFE-76AC-405F-A60E-13BD4A368E67}" name="Max Payload" dataDxfId="25"/>
    <tableColumn id="59" xr3:uid="{6583E26A-6FFB-48BA-A699-785EAACD689C}" name="Rear Axle"/>
    <tableColumn id="60" xr3:uid="{4D06647C-098D-4607-8184-60CAAE4F84AA}" name="Front Tire Type"/>
    <tableColumn id="61" xr3:uid="{10D94B38-941C-4725-A088-1B67BC9E623E}" name="Front Wheel Diameter"/>
    <tableColumn id="62" xr3:uid="{6C6E2DEC-598B-4FA8-8727-1FEA38E04337}" name="Rear Tire Type"/>
    <tableColumn id="63" xr3:uid="{8E3BF864-358C-412A-87CF-5BB252F0C72A}" name="Rear Wheel Diameter"/>
    <tableColumn id="64" xr3:uid="{1DEFEE97-90DA-4B86-9C27-AA5D670362F6}" name="EPA City"/>
    <tableColumn id="65" xr3:uid="{1897CCFB-83A4-4BB6-997B-C85435ED977D}" name="EPA Highway"/>
    <tableColumn id="66" xr3:uid="{B949FE68-2FC8-447D-9929-216D75490B5D}" name="EPA Combined" dataDxfId="24"/>
    <tableColumn id="67" xr3:uid="{D1E059DE-A085-4C69-9BAF-7CAAE042814E}" name="Engine Summary"/>
    <tableColumn id="68" xr3:uid="{3FAAA953-3AA5-4076-94E2-D238C5A9E48D}" name="Engine Brand"/>
    <tableColumn id="69" xr3:uid="{710F4FD7-B928-4A00-96E5-D9D720745CAA}" name="Aspiration"/>
    <tableColumn id="70" xr3:uid="{85345956-3832-43AD-B035-E4AD1693C159}" name="Block Type"/>
    <tableColumn id="71" xr3:uid="{75ED7B4C-0791-48B9-8230-ED2A88E5809D}" name="Bore"/>
    <tableColumn id="72" xr3:uid="{078E5129-8D8E-4DFC-A9C6-73B0CB8F6A66}" name="Cam Type"/>
    <tableColumn id="73" xr3:uid="{A6B31BDD-31F1-461F-8483-9E90B919AC3A}" name="Compression"/>
    <tableColumn id="74" xr3:uid="{2D6CAE01-D8A9-432E-9AAE-8C843F93A436}" name="Cylinders"/>
    <tableColumn id="75" xr3:uid="{504F2130-26A7-4C88-8E98-1D33C181E6DC}" name="Displacement"/>
    <tableColumn id="76" xr3:uid="{1C93D21C-83AB-43AE-A7FB-66CEE8E79C4C}" name="Fuel Induction"/>
    <tableColumn id="77" xr3:uid="{5E622BDA-1575-439F-BA0D-0A87FE6C2E96}" name="Fuel Quality"/>
    <tableColumn id="78" xr3:uid="{FD4EC052-E938-45E2-B7BC-8B6CA4B36586}" name="Max HP"/>
    <tableColumn id="79" xr3:uid="{EB773654-3CA1-4341-8977-E7018B4A3F22}" name="Max Torque"/>
    <tableColumn id="80" xr3:uid="{24E33C6B-5D35-4D38-B4E2-41A246527779}" name="Oil Capacity"/>
    <tableColumn id="81" xr3:uid="{D9E6F83B-FFB1-4045-941C-4C30DB78928B}" name="Redline RPM"/>
    <tableColumn id="82" xr3:uid="{86B8171A-3463-449E-A9ED-C1A6DD5ED10E}" name="Stroke"/>
    <tableColumn id="83" xr3:uid="{AE3FFE2D-2024-4A0B-92BB-5CB570E4DF3D}" name="Valves"/>
    <tableColumn id="84" xr3:uid="{035E7125-51F2-4355-8305-793FB3A2647C}" name="Transmission Summary"/>
    <tableColumn id="85" xr3:uid="{F002DF7B-A6DC-4F0B-B4D5-C1895B229375}" name="Transmission Brand"/>
    <tableColumn id="86" xr3:uid="{59A9BC95-7054-4276-B3ED-02C3FAE23A48}" name="Transmission Type"/>
    <tableColumn id="87" xr3:uid="{4159A472-47CD-44C0-97A2-7F194963C277}" name="Transmission Gears"/>
    <tableColumn id="88" xr3:uid="{139AACDE-81EB-40C8-8F49-1261D4CD0F55}" name="Cargo Volume"/>
    <tableColumn id="89" xr3:uid="{55F4008E-7FBB-41C4-9924-D786ADADCA1A}" name="Interior Volume"/>
    <tableColumn id="90" xr3:uid="{4AF991E8-FD69-4824-872E-11521FB6B3D0}" name="Passenger Volume"/>
    <tableColumn id="91" xr3:uid="{4EA89F8D-A8D6-469E-90BE-14CC8908FA2D}" name="Duty type"/>
    <tableColumn id="92" xr3:uid="{E1FD7DEA-B545-4505-8D02-A0CCC2E07344}" name="Acquisition Type"/>
    <tableColumn id="93" xr3:uid="{D4770E11-4E04-4240-A2AB-CA1F9C12BA11}" name="Monthly Cost"/>
    <tableColumn id="94" xr3:uid="{2A58559A-D44A-4B8B-B347-D57B3B159DEB}" name="Acquisition Date"/>
    <tableColumn id="95" xr3:uid="{0C83755F-1854-4751-AB2C-7B00526EAA7C}" name="Loan Amount"/>
    <tableColumn id="96" xr3:uid="{133B759A-0E30-48B7-A858-5B7E47B08596}" name="Capitalized Cost"/>
    <tableColumn id="97" xr3:uid="{B398BF68-56B9-44C9-88EE-72F4459439A0}" name="Down Payment Amount"/>
    <tableColumn id="98" xr3:uid="{43E64750-446D-4CCD-986F-0443F5C1846E}" name="Annual Percentage Rate"/>
    <tableColumn id="99" xr3:uid="{988112BF-1DC3-4C20-9272-6979AAF59970}" name="First Payment Date"/>
    <tableColumn id="100" xr3:uid="{51A9C15C-929B-4ACE-A755-FA98702A4DDA}" name="Number of Payments"/>
    <tableColumn id="101" xr3:uid="{99B63C1D-AC75-4681-B22B-AC7F9CEF5FD1}" name="Reference Number"/>
    <tableColumn id="102" xr3:uid="{3D0DD801-833C-437C-8D13-BB637B6C2B62}" name="Residual Value"/>
    <tableColumn id="103" xr3:uid="{F9A7F15B-A4CF-4E4A-B3AC-87139E7FC17A}" name="Mileage Cap"/>
    <tableColumn id="104" xr3:uid="{144CFB3D-07B6-4FF3-A31E-039B62FBD93C}" name="Mileage Charge"/>
    <tableColumn id="105" xr3:uid="{2B357413-38C5-4978-B638-32D72FF136BE}" name="Notes"/>
    <tableColumn id="106" xr3:uid="{6554505A-48AB-481B-A253-4C60EBE4F087}" name="Acquisition End Date"/>
    <tableColumn id="107" xr3:uid="{F0190594-9F06-44A7-BD75-53A66147C6AE}" name="Generate Expenses"/>
    <tableColumn id="108" xr3:uid="{A1E5FD1C-4B5B-4E0F-9D7E-46226392CA69}" name="Vendor Name"/>
    <tableColumn id="109" xr3:uid="{4774760D-644B-44AA-921A-E68EAAACDC9F}" name="Lender Name"/>
    <tableColumn id="110" xr3:uid="{5C50AFD3-B060-43C5-BFA6-F0CD651F4C8E}" name="Purchase Date"/>
    <tableColumn id="111" xr3:uid="{6AC53C7A-3B2E-45C4-9AA6-3BD0A9AFD1D7}" name="Purchase Price" dataDxfId="23"/>
    <tableColumn id="112" xr3:uid="{04D36C26-3F7D-4ACE-886E-252040A0A19E}" name="Purchase meter value"/>
    <tableColumn id="113" xr3:uid="{C0EBA437-34B4-4EAC-AE41-7C1C2B0FD6AA}" name="Warranty Expiration Date"/>
    <tableColumn id="114" xr3:uid="{47A91C7A-FCCB-4395-99E5-96CF3C011D62}" name="Warranty Expiration Meter"/>
    <tableColumn id="115" xr3:uid="{1645FDAA-0F10-4AFA-88F8-44A0F1FB7C7B}" name="Purchase comment"/>
    <tableColumn id="116" xr3:uid="{317A18AE-2433-430F-92BA-6D910467A99F}" name="Purchase Vendor"/>
    <tableColumn id="117" xr3:uid="{9B7F41EB-2FEB-4E63-851F-6EBF07016BC8}" name="Linked Vehicles"/>
    <tableColumn id="119" xr3:uid="{166D4A8B-8D3E-44C6-BA40-ADBBCBAC70D1}" name="Milage sour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053761-45ED-460B-B175-99AE12D18A7A}" name="upfront" displayName="upfront" ref="A2:M55" totalsRowShown="0" headerRowDxfId="22">
  <autoFilter ref="A2:M55" xr:uid="{5AC60708-A5A5-4213-A3C5-79211D2E6157}"/>
  <sortState xmlns:xlrd2="http://schemas.microsoft.com/office/spreadsheetml/2017/richdata2" ref="A3:G52">
    <sortCondition ref="F2:F52"/>
  </sortState>
  <tableColumns count="13">
    <tableColumn id="1" xr3:uid="{C23DFDBA-2479-40A9-9C1F-361B52DB2451}" name="vehicle_name"/>
    <tableColumn id="2" xr3:uid="{568F21EB-915D-4CDF-974F-8E379081102A}" name="msrp"/>
    <tableColumn id="3" xr3:uid="{E5DBCCD7-BFF1-4494-8F22-B81EC39157E5}" name="upfit"/>
    <tableColumn id="4" xr3:uid="{51F6D54C-F0B0-418D-8D5D-DF11C69E0CCF}" name="lifetime_insurance"/>
    <tableColumn id="8" xr3:uid="{FE38BF0F-9DCD-4DDE-B2E5-807E890401E0}" name="Total upfront" dataDxfId="21">
      <calculatedColumnFormula>SUM(upfront[[#This Row],[msrp]:[lifetime_insurance]])</calculatedColumnFormula>
    </tableColumn>
    <tableColumn id="7" xr3:uid="{A749DBBD-B6EE-4DB2-B982-FDF6496356F5}" name="location (George)"/>
    <tableColumn id="9" xr3:uid="{DFF66422-2C7E-499B-A7FD-B664DE1151EF}" name="Useful life (George)" dataDxfId="20">
      <calculatedColumnFormula>VLOOKUP(upfront[[#This Row],[vehicle_name]],vehicle_data[],24,FALSE)</calculatedColumnFormula>
    </tableColumn>
    <tableColumn id="10" xr3:uid="{F10659F7-1CA1-4422-BED5-E898450882B1}" name="Duration of vehicle" dataDxfId="19">
      <calculatedColumnFormula>_xlfn.MAXIFS(vehicle_data[Year],vehicle_data[Vehicle],upfront[[#This Row],[vehicle_name]])</calculatedColumnFormula>
    </tableColumn>
    <tableColumn id="11" xr3:uid="{6137C20B-73B1-4BBA-BA70-A05AA907176C}" name="Mileage start" dataDxfId="18">
      <calculatedColumnFormula>_xlfn.MINIFS(vehicle_data[Odometer start], vehicle_data[Vehicle], upfront[[#This Row],[vehicle_name]])</calculatedColumnFormula>
    </tableColumn>
    <tableColumn id="12" xr3:uid="{1A91C7F6-8048-4B68-9B34-271231AD7857}" name="Mileage at useful life" dataDxfId="17">
      <calculatedColumnFormula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calculatedColumnFormula>
    </tableColumn>
    <tableColumn id="13" xr3:uid="{3F529646-03FF-44C0-A7B2-B3B50652494A}" name="Miles of useful life" dataDxfId="16">
      <calculatedColumnFormula>IFERROR(upfront[[#This Row],[Mileage at useful life]]-upfront[[#This Row],[Mileage start]],"N/A")</calculatedColumnFormula>
    </tableColumn>
    <tableColumn id="5" xr3:uid="{2D96DAF2-FB5B-4030-B05B-FFB7E12E4792}" name="Reported on?" dataDxfId="15">
      <calculatedColumnFormula>IF(ISERROR(VLOOKUP(upfront[[#This Row],[vehicle_name]],'summary-by-location'!A:A,1,FALSE)),"NO","YES")</calculatedColumnFormula>
    </tableColumn>
    <tableColumn id="6" xr3:uid="{6E8CCF95-07B3-4250-B35F-10F87ED38D57}" name="Current value" dataDxfId="14">
      <calculatedColumnFormula>VLOOKUP(A3,Sheet1!$A$2:$B$63,2,FALSE)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B65AB-1BD2-4900-B566-50DBEA799ABD}" name="data" displayName="data" ref="A1:E1271" totalsRowShown="0">
  <sortState xmlns:xlrd2="http://schemas.microsoft.com/office/spreadsheetml/2017/richdata2" ref="A1101:E1128">
    <sortCondition ref="E1:E1261"/>
  </sortState>
  <tableColumns count="5">
    <tableColumn id="1" xr3:uid="{CEB56FE0-7C7C-40CF-B3E4-95617EA99838}" name="vehicle_name"/>
    <tableColumn id="2" xr3:uid="{B6C29848-C97B-40E7-8D5A-0198B6B6DFF2}" name="vehicle_vin"/>
    <tableColumn id="3" xr3:uid="{0749701E-5086-441E-95A6-A3C63BE1C7AE}" name="meter_value"/>
    <tableColumn id="4" xr3:uid="{C768D2E8-9560-4841-A74C-85432BFEFF20}" name="amount"/>
    <tableColumn id="5" xr3:uid="{72B94BDE-89D6-428E-841A-CB787EF64120}" name="date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B7AC13-CD30-4F5D-AD4A-C2971A409220}" name="Table7" displayName="Table7" ref="A1:B6" totalsRowShown="0">
  <autoFilter ref="A1:B6" xr:uid="{928EEEBF-684C-418F-A6CA-A843E00A22C4}"/>
  <tableColumns count="2">
    <tableColumn id="2" xr3:uid="{B710F9F9-E2B1-4431-93AB-8EE26A8938D0}" name="location_name"/>
    <tableColumn id="3" xr3:uid="{A4FD4D59-5A3B-4CA8-95B3-96D539B0D0BE}" name="location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225E45-BD2A-4E62-85E3-FABE1C0FCB85}" name="Table8" displayName="Table8" ref="D1:D10" totalsRowShown="0" headerRowDxfId="12" dataDxfId="10" headerRowBorderDxfId="11" tableBorderDxfId="9" totalsRowBorderDxfId="8">
  <autoFilter ref="D1:D10" xr:uid="{5D887AC6-4009-4E0D-8BB7-A75B45554956}"/>
  <tableColumns count="1">
    <tableColumn id="1" xr3:uid="{3D54B46D-6F68-4ACB-AA74-EB947C492A61}" name="Austin" dataDxfId="7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57DF4F-1542-4C7C-9226-871576D6A986}" name="Table9" displayName="Table9" ref="F1:F21" totalsRowShown="0" headerRowDxfId="6" dataDxfId="4" headerRowBorderDxfId="5" tableBorderDxfId="3" totalsRowBorderDxfId="2">
  <autoFilter ref="F1:F21" xr:uid="{53EB4F2D-6025-467C-88BC-C2D0CE877267}"/>
  <tableColumns count="1">
    <tableColumn id="1" xr3:uid="{13B0F6BB-06BD-4D27-B8C8-624D804B4FEE}" name="Redford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3BAEEF-8401-451C-92B7-6BB9B7333A7E}" name="Table5" displayName="Table5" ref="H1:H10" totalsRowShown="0">
  <autoFilter ref="H1:H10" xr:uid="{4918A52C-ABC1-4726-A632-810B190E34F9}"/>
  <tableColumns count="1">
    <tableColumn id="1" xr3:uid="{A3E05DFE-74C3-4D6B-A73A-B572554A92F1}" name="Grand Rapid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1812B2-C5DA-48AB-9690-DD440932B242}" name="Table6" displayName="Table6" ref="J1:J8" totalsRowShown="0">
  <autoFilter ref="J1:J8" xr:uid="{31CAA175-8405-453E-B3BF-50268E46B41D}"/>
  <tableColumns count="1">
    <tableColumn id="1" xr3:uid="{4A97488D-57D6-495E-AC19-5CD0F9EBC9C3}" name="South Ben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A8BFE2F-B11B-4FBF-BC05-D4985B8E85F1}" name="Table10" displayName="Table10" ref="L1:L9" totalsRowShown="0">
  <autoFilter ref="L1:L9" xr:uid="{0A99F4DC-ECF7-4413-8326-4EDA15ED2DD1}"/>
  <tableColumns count="1">
    <tableColumn id="1" xr3:uid="{7F5A051E-1F7A-4460-9408-F67C3C1DD61D}" name="Delawar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DDC780-2C75-40AF-AB4C-DBA8D1E28E23}" name="fuel" displayName="fuel" ref="A1:C12" totalsRowShown="0">
  <autoFilter ref="A1:C12" xr:uid="{73212BEF-2A07-4FC6-AA2C-63B1EA544273}"/>
  <tableColumns count="3">
    <tableColumn id="1" xr3:uid="{AD54555D-B96F-40A6-9BA3-B9E6DD9F6D33}" name="year"/>
    <tableColumn id="2" xr3:uid="{0CF149C9-6EE2-461A-8016-90B274AA8366}" name="value"/>
    <tableColumn id="3" xr3:uid="{05C67BB4-35B9-4847-B6DC-46522D2F8E52}" name="gas-per-mile" dataDxfId="0">
      <calculatedColumnFormula>fuel[[#This Row],[value]]/20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5B5F6E-D5A9-43FC-B095-E7FF672B57AE}" name="months" displayName="months" ref="A1:B13" totalsRowShown="0">
  <autoFilter ref="A1:B13" xr:uid="{3E778059-49B6-4536-A483-1151EF07C9EA}"/>
  <tableColumns count="2">
    <tableColumn id="1" xr3:uid="{828C56C1-8FE7-4FB9-925F-37929E992A7C}" name="Month"/>
    <tableColumn id="2" xr3:uid="{14C75AEF-5127-4D3A-AFC1-49CAE686C5A7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4" dT="2021-03-26T19:12:41.52" personId="{CED719F7-C483-4D10-80FE-53E254FD6860}" id="{47694B1A-40A3-4507-A218-7F85A19C7C70}">
    <text>Hide this and look up dynamic figure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3" dT="2021-03-29T17:35:27.68" personId="{CED719F7-C483-4D10-80FE-53E254FD6860}" id="{3DF791F2-970D-428C-9708-827CB3BEA166}">
    <text>This feeds what displays as make/model through workbooks -- type over these cells if you'd like to adjust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3-17T19:45:00.07" personId="{6F2459C8-189C-4A15-99B3-99A207BA6CC0}" id="{21183E97-C82C-4261-818A-5A872551F84B}">
    <text>Make this specific to year</text>
  </threadedComment>
  <threadedComment ref="B12" dT="2021-03-30T17:35:00.10" personId="{FBD79ED3-6A2A-4DF4-B664-DB83CECAE375}" id="{A527AA76-6059-449D-91A4-E546FBDDE2C0}">
    <text xml:space="preserve">Projected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../:v:/g/personal/george_stringfestanalytics_com/Edritq6pgIJJthIFER4bdsUBBecSj2Y-iw-KVQSzyc0o_g?e=WRNC7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elly.com/car/ford/f-250_super_duty/2020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https://www.fuelly.com/car/ford/f-250_super_duty/2020" TargetMode="External"/><Relationship Id="rId1" Type="http://schemas.openxmlformats.org/officeDocument/2006/relationships/hyperlink" Target="https://www.fuelly.com/car/ford/f-250_super_duty/2015" TargetMode="External"/><Relationship Id="rId6" Type="http://schemas.openxmlformats.org/officeDocument/2006/relationships/comments" Target="../comments2.xml"/><Relationship Id="rId5" Type="http://schemas.openxmlformats.org/officeDocument/2006/relationships/table" Target="../tables/table2.xml"/><Relationship Id="rId4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1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4078-7189-48C5-A1A1-80C7BE46E528}">
  <dimension ref="A1:B34"/>
  <sheetViews>
    <sheetView workbookViewId="0">
      <selection activeCell="B4" sqref="B4"/>
    </sheetView>
  </sheetViews>
  <sheetFormatPr defaultRowHeight="14.25" x14ac:dyDescent="0.45"/>
  <cols>
    <col min="1" max="1" width="34.86328125" customWidth="1"/>
    <col min="2" max="2" width="22.3984375" customWidth="1"/>
    <col min="3" max="3" width="7.6640625" bestFit="1" customWidth="1"/>
    <col min="4" max="7" width="8.6640625" bestFit="1" customWidth="1"/>
    <col min="8" max="8" width="9.6640625" bestFit="1" customWidth="1"/>
    <col min="9" max="10" width="8.6640625" bestFit="1" customWidth="1"/>
    <col min="11" max="11" width="4.6640625" bestFit="1" customWidth="1"/>
    <col min="12" max="12" width="10.1328125" bestFit="1" customWidth="1"/>
  </cols>
  <sheetData>
    <row r="1" spans="1:2" x14ac:dyDescent="0.45">
      <c r="A1" s="24" t="s">
        <v>0</v>
      </c>
    </row>
    <row r="2" spans="1:2" x14ac:dyDescent="0.45">
      <c r="A2" s="20" t="s">
        <v>1</v>
      </c>
      <c r="B2" s="36" t="s">
        <v>2</v>
      </c>
    </row>
    <row r="3" spans="1:2" x14ac:dyDescent="0.45">
      <c r="A3" s="24"/>
    </row>
    <row r="4" spans="1:2" x14ac:dyDescent="0.45">
      <c r="A4" s="24" t="s">
        <v>3</v>
      </c>
    </row>
    <row r="6" spans="1:2" x14ac:dyDescent="0.45">
      <c r="A6" t="s">
        <v>4</v>
      </c>
    </row>
    <row r="7" spans="1:2" x14ac:dyDescent="0.45">
      <c r="A7" t="s">
        <v>5</v>
      </c>
      <c r="B7" t="s">
        <v>6</v>
      </c>
    </row>
    <row r="8" spans="1:2" x14ac:dyDescent="0.45">
      <c r="A8" t="s">
        <v>7</v>
      </c>
      <c r="B8" t="s">
        <v>8</v>
      </c>
    </row>
    <row r="9" spans="1:2" x14ac:dyDescent="0.45">
      <c r="A9" t="s">
        <v>9</v>
      </c>
      <c r="B9" t="s">
        <v>10</v>
      </c>
    </row>
    <row r="10" spans="1:2" x14ac:dyDescent="0.45">
      <c r="A10" t="s">
        <v>11</v>
      </c>
      <c r="B10" t="s">
        <v>12</v>
      </c>
    </row>
    <row r="11" spans="1:2" x14ac:dyDescent="0.45">
      <c r="A11" t="s">
        <v>13</v>
      </c>
      <c r="B11" t="s">
        <v>14</v>
      </c>
    </row>
    <row r="13" spans="1:2" x14ac:dyDescent="0.45">
      <c r="A13" t="s">
        <v>15</v>
      </c>
    </row>
    <row r="14" spans="1:2" x14ac:dyDescent="0.45">
      <c r="A14" t="s">
        <v>16</v>
      </c>
      <c r="B14" t="s">
        <v>17</v>
      </c>
    </row>
    <row r="15" spans="1:2" x14ac:dyDescent="0.45">
      <c r="A15" t="s">
        <v>18</v>
      </c>
      <c r="B15" t="s">
        <v>19</v>
      </c>
    </row>
    <row r="16" spans="1:2" x14ac:dyDescent="0.45">
      <c r="A16" t="s">
        <v>20</v>
      </c>
      <c r="B16" t="s">
        <v>21</v>
      </c>
    </row>
    <row r="18" spans="1:2" x14ac:dyDescent="0.45">
      <c r="A18" t="s">
        <v>22</v>
      </c>
    </row>
    <row r="19" spans="1:2" x14ac:dyDescent="0.45">
      <c r="A19" t="s">
        <v>23</v>
      </c>
      <c r="B19" t="s">
        <v>24</v>
      </c>
    </row>
    <row r="21" spans="1:2" x14ac:dyDescent="0.45">
      <c r="A21" s="24" t="s">
        <v>25</v>
      </c>
    </row>
    <row r="22" spans="1:2" x14ac:dyDescent="0.45">
      <c r="A22" s="24"/>
    </row>
    <row r="23" spans="1:2" x14ac:dyDescent="0.45">
      <c r="A23" t="s">
        <v>26</v>
      </c>
    </row>
    <row r="24" spans="1:2" ht="85.5" x14ac:dyDescent="0.45">
      <c r="A24" s="20" t="s">
        <v>27</v>
      </c>
    </row>
    <row r="25" spans="1:2" x14ac:dyDescent="0.45">
      <c r="A25" t="s">
        <v>28</v>
      </c>
    </row>
    <row r="26" spans="1:2" x14ac:dyDescent="0.45">
      <c r="A26" t="s">
        <v>29</v>
      </c>
    </row>
    <row r="27" spans="1:2" x14ac:dyDescent="0.45">
      <c r="A27" t="s">
        <v>30</v>
      </c>
    </row>
    <row r="28" spans="1:2" x14ac:dyDescent="0.45">
      <c r="A28" t="s">
        <v>31</v>
      </c>
    </row>
    <row r="29" spans="1:2" x14ac:dyDescent="0.45">
      <c r="A29" t="s">
        <v>32</v>
      </c>
    </row>
    <row r="30" spans="1:2" x14ac:dyDescent="0.45">
      <c r="A30" t="s">
        <v>33</v>
      </c>
    </row>
    <row r="31" spans="1:2" x14ac:dyDescent="0.45">
      <c r="A31" t="s">
        <v>34</v>
      </c>
    </row>
    <row r="32" spans="1:2" x14ac:dyDescent="0.45">
      <c r="A32" t="s">
        <v>35</v>
      </c>
    </row>
    <row r="33" spans="1:1" x14ac:dyDescent="0.45">
      <c r="A33" t="s">
        <v>36</v>
      </c>
    </row>
    <row r="34" spans="1:1" x14ac:dyDescent="0.45">
      <c r="A34" t="s">
        <v>37</v>
      </c>
    </row>
  </sheetData>
  <hyperlinks>
    <hyperlink ref="B2" r:id="rId1" xr:uid="{504E8D6C-5BF0-493E-9A52-691094B57A9E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01AE-49C7-48AB-A623-AB7656094DB3}">
  <dimension ref="A1:E26"/>
  <sheetViews>
    <sheetView workbookViewId="0">
      <selection activeCell="A21" sqref="A21"/>
    </sheetView>
  </sheetViews>
  <sheetFormatPr defaultRowHeight="14.25" x14ac:dyDescent="0.45"/>
  <cols>
    <col min="1" max="1" width="47" customWidth="1"/>
    <col min="2" max="2" width="25.1328125" bestFit="1" customWidth="1"/>
    <col min="3" max="3" width="24" bestFit="1" customWidth="1"/>
  </cols>
  <sheetData>
    <row r="1" spans="1:5" x14ac:dyDescent="0.4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45">
      <c r="A2" s="59" t="s">
        <v>43</v>
      </c>
      <c r="B2" s="59" t="s">
        <v>44</v>
      </c>
      <c r="C2" s="59"/>
      <c r="D2" s="59"/>
      <c r="E2" s="59" t="s">
        <v>45</v>
      </c>
    </row>
    <row r="3" spans="1:5" x14ac:dyDescent="0.45">
      <c r="A3" s="59" t="s">
        <v>46</v>
      </c>
      <c r="B3" s="59" t="s">
        <v>47</v>
      </c>
      <c r="C3" s="59"/>
      <c r="D3" s="59" t="s">
        <v>48</v>
      </c>
      <c r="E3" s="59" t="s">
        <v>49</v>
      </c>
    </row>
    <row r="4" spans="1:5" x14ac:dyDescent="0.45">
      <c r="A4" s="59" t="s">
        <v>50</v>
      </c>
      <c r="B4" s="59" t="s">
        <v>51</v>
      </c>
      <c r="C4" s="59" t="s">
        <v>52</v>
      </c>
      <c r="D4" s="59"/>
      <c r="E4" s="59" t="s">
        <v>49</v>
      </c>
    </row>
    <row r="5" spans="1:5" x14ac:dyDescent="0.45">
      <c r="A5" s="59" t="s">
        <v>53</v>
      </c>
      <c r="B5" s="59" t="s">
        <v>54</v>
      </c>
      <c r="C5" s="59"/>
      <c r="D5" s="59"/>
      <c r="E5" s="59" t="s">
        <v>45</v>
      </c>
    </row>
    <row r="6" spans="1:5" x14ac:dyDescent="0.45">
      <c r="A6" s="59" t="s">
        <v>55</v>
      </c>
      <c r="B6" s="59" t="s">
        <v>56</v>
      </c>
      <c r="C6" s="59"/>
      <c r="D6" s="59"/>
      <c r="E6" s="59" t="s">
        <v>57</v>
      </c>
    </row>
    <row r="7" spans="1:5" x14ac:dyDescent="0.45">
      <c r="A7" s="59" t="s">
        <v>58</v>
      </c>
      <c r="B7" s="59" t="s">
        <v>47</v>
      </c>
      <c r="C7" s="59"/>
      <c r="D7" s="59" t="s">
        <v>59</v>
      </c>
      <c r="E7" s="59" t="s">
        <v>49</v>
      </c>
    </row>
    <row r="8" spans="1:5" x14ac:dyDescent="0.45">
      <c r="A8" s="59" t="s">
        <v>60</v>
      </c>
      <c r="B8" s="59" t="s">
        <v>47</v>
      </c>
      <c r="C8" s="59"/>
      <c r="D8" s="59" t="s">
        <v>61</v>
      </c>
      <c r="E8" s="59" t="s">
        <v>49</v>
      </c>
    </row>
    <row r="9" spans="1:5" x14ac:dyDescent="0.45">
      <c r="A9" s="59"/>
      <c r="B9" s="59"/>
      <c r="C9" s="59"/>
      <c r="D9" s="59"/>
      <c r="E9" s="59"/>
    </row>
    <row r="10" spans="1:5" x14ac:dyDescent="0.45">
      <c r="A10" s="60" t="s">
        <v>62</v>
      </c>
      <c r="B10" s="59" t="s">
        <v>56</v>
      </c>
      <c r="C10" s="59"/>
      <c r="D10" s="59"/>
      <c r="E10" s="59"/>
    </row>
    <row r="11" spans="1:5" x14ac:dyDescent="0.45">
      <c r="A11" s="59" t="s">
        <v>63</v>
      </c>
      <c r="B11" s="59" t="s">
        <v>47</v>
      </c>
      <c r="C11" s="59"/>
      <c r="D11" s="59"/>
      <c r="E11" s="59"/>
    </row>
    <row r="12" spans="1:5" x14ac:dyDescent="0.45">
      <c r="A12" s="59" t="s">
        <v>64</v>
      </c>
      <c r="B12" s="59" t="s">
        <v>47</v>
      </c>
      <c r="C12" s="59"/>
      <c r="D12" s="59"/>
      <c r="E12" s="59"/>
    </row>
    <row r="13" spans="1:5" x14ac:dyDescent="0.45">
      <c r="A13" s="59" t="s">
        <v>65</v>
      </c>
      <c r="B13" s="59" t="s">
        <v>47</v>
      </c>
      <c r="C13" s="59"/>
      <c r="D13" s="59"/>
      <c r="E13" s="59"/>
    </row>
    <row r="14" spans="1:5" x14ac:dyDescent="0.45">
      <c r="A14" s="61" t="s">
        <v>66</v>
      </c>
      <c r="B14" s="61" t="s">
        <v>56</v>
      </c>
      <c r="C14" s="61"/>
      <c r="D14" s="61"/>
      <c r="E14" s="61" t="s">
        <v>49</v>
      </c>
    </row>
    <row r="15" spans="1:5" x14ac:dyDescent="0.45">
      <c r="A15" s="61" t="s">
        <v>67</v>
      </c>
      <c r="B15" s="61" t="s">
        <v>47</v>
      </c>
      <c r="C15" s="61"/>
      <c r="D15" s="61"/>
      <c r="E15" s="61" t="s">
        <v>49</v>
      </c>
    </row>
    <row r="16" spans="1:5" x14ac:dyDescent="0.45">
      <c r="A16" s="61" t="s">
        <v>68</v>
      </c>
      <c r="B16" s="61" t="s">
        <v>47</v>
      </c>
      <c r="C16" s="61"/>
      <c r="D16" s="61"/>
      <c r="E16" s="61" t="s">
        <v>49</v>
      </c>
    </row>
    <row r="17" spans="1:5" x14ac:dyDescent="0.45">
      <c r="A17" s="61" t="s">
        <v>69</v>
      </c>
      <c r="B17" s="61" t="s">
        <v>47</v>
      </c>
      <c r="C17" s="61"/>
      <c r="D17" s="61"/>
      <c r="E17" s="61" t="s">
        <v>49</v>
      </c>
    </row>
    <row r="18" spans="1:5" x14ac:dyDescent="0.45">
      <c r="A18" s="61" t="s">
        <v>70</v>
      </c>
      <c r="B18" s="61" t="s">
        <v>47</v>
      </c>
      <c r="C18" s="61"/>
      <c r="D18" s="61"/>
      <c r="E18" s="61" t="s">
        <v>49</v>
      </c>
    </row>
    <row r="19" spans="1:5" x14ac:dyDescent="0.45">
      <c r="A19" s="61"/>
      <c r="B19" s="61"/>
      <c r="C19" s="61"/>
      <c r="D19" s="61"/>
      <c r="E19" s="61"/>
    </row>
    <row r="20" spans="1:5" x14ac:dyDescent="0.45">
      <c r="A20" s="61" t="s">
        <v>71</v>
      </c>
      <c r="B20" s="61"/>
      <c r="C20" s="61"/>
      <c r="D20" s="61"/>
      <c r="E20" s="61"/>
    </row>
    <row r="21" spans="1:5" x14ac:dyDescent="0.45">
      <c r="A21" s="61"/>
      <c r="B21" s="61"/>
      <c r="C21" s="61"/>
      <c r="D21" s="61"/>
      <c r="E21" s="61"/>
    </row>
    <row r="22" spans="1:5" x14ac:dyDescent="0.45">
      <c r="A22" s="61"/>
      <c r="B22" s="61"/>
      <c r="C22" s="61"/>
      <c r="D22" s="61"/>
      <c r="E22" s="61"/>
    </row>
    <row r="23" spans="1:5" x14ac:dyDescent="0.45">
      <c r="A23" s="61"/>
      <c r="B23" s="61"/>
      <c r="C23" s="61"/>
      <c r="D23" s="61"/>
      <c r="E23" s="61"/>
    </row>
    <row r="24" spans="1:5" x14ac:dyDescent="0.45">
      <c r="A24" s="61"/>
      <c r="B24" s="61"/>
      <c r="C24" s="61"/>
      <c r="D24" s="61"/>
      <c r="E24" s="61"/>
    </row>
    <row r="25" spans="1:5" x14ac:dyDescent="0.45">
      <c r="A25" s="61"/>
      <c r="B25" s="61"/>
      <c r="C25" s="61"/>
      <c r="D25" s="61"/>
      <c r="E25" s="61"/>
    </row>
    <row r="26" spans="1:5" x14ac:dyDescent="0.45">
      <c r="A26" s="61"/>
      <c r="B26" s="61"/>
      <c r="C26" s="61"/>
      <c r="D26" s="61"/>
      <c r="E26" s="6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9AA1-BA17-42D3-BA70-37B77D45FF08}">
  <sheetPr>
    <tabColor rgb="FF92D050"/>
  </sheetPr>
  <dimension ref="A3:H17"/>
  <sheetViews>
    <sheetView workbookViewId="0">
      <selection activeCell="A28" sqref="A28"/>
    </sheetView>
  </sheetViews>
  <sheetFormatPr defaultRowHeight="14.25" x14ac:dyDescent="0.45"/>
  <cols>
    <col min="1" max="1" width="11.1328125" bestFit="1" customWidth="1"/>
    <col min="2" max="2" width="15.59765625" style="11" customWidth="1"/>
    <col min="3" max="3" width="15.3984375" style="11" bestFit="1" customWidth="1"/>
    <col min="4" max="4" width="15.3984375" style="11" customWidth="1"/>
    <col min="5" max="5" width="13.59765625" customWidth="1"/>
    <col min="6" max="6" width="0" hidden="1" customWidth="1"/>
    <col min="7" max="7" width="14.3984375" customWidth="1"/>
  </cols>
  <sheetData>
    <row r="3" spans="1:8" ht="42.75" x14ac:dyDescent="0.45">
      <c r="A3" s="27" t="s">
        <v>72</v>
      </c>
      <c r="B3" s="7" t="s">
        <v>73</v>
      </c>
      <c r="C3" s="7" t="s">
        <v>74</v>
      </c>
      <c r="D3" s="27" t="s">
        <v>75</v>
      </c>
      <c r="E3" s="27" t="s">
        <v>76</v>
      </c>
      <c r="F3" s="27" t="s">
        <v>77</v>
      </c>
      <c r="G3" s="27" t="s">
        <v>78</v>
      </c>
      <c r="H3" s="27" t="s">
        <v>79</v>
      </c>
    </row>
    <row r="4" spans="1:8" x14ac:dyDescent="0.45">
      <c r="A4" t="s">
        <v>80</v>
      </c>
      <c r="B4" s="11">
        <f>SUMIF(vehicle_data[Location],$A4,vehicle_data[Annual fuel costs])</f>
        <v>168285.45727170492</v>
      </c>
      <c r="C4" s="11">
        <f>SUMIF(vehicle_data[Location],$A4,vehicle_data[Annual maintenance costs])</f>
        <v>48803.19</v>
      </c>
      <c r="D4" s="11">
        <f>B4+C4</f>
        <v>217088.64727170492</v>
      </c>
      <c r="E4">
        <f>COUNTIF(upfront[location (George)],A4)</f>
        <v>9</v>
      </c>
      <c r="F4">
        <f>E4-G4</f>
        <v>3</v>
      </c>
      <c r="G4">
        <f>COUNTIFS(upfront[Useful life (George)],"&gt;0",upfront[location (George)],A4)</f>
        <v>6</v>
      </c>
      <c r="H4" s="81">
        <f>G4/E4</f>
        <v>0.66666666666666663</v>
      </c>
    </row>
    <row r="5" spans="1:8" x14ac:dyDescent="0.45">
      <c r="A5" t="s">
        <v>81</v>
      </c>
      <c r="B5" s="11">
        <f>SUMIF(vehicle_data[Location],$A5,vehicle_data[Annual fuel costs])</f>
        <v>178042.00635714279</v>
      </c>
      <c r="C5" s="11">
        <f>SUMIF(vehicle_data[Location],$A5,vehicle_data[Annual maintenance costs])</f>
        <v>46147.929999999986</v>
      </c>
      <c r="D5" s="11">
        <f t="shared" ref="D5:D8" si="0">B5+C5</f>
        <v>224189.93635714278</v>
      </c>
      <c r="E5">
        <f>COUNTIF(upfront[location (George)],A5)</f>
        <v>8</v>
      </c>
      <c r="F5">
        <f t="shared" ref="F5:F8" si="1">E5-G5</f>
        <v>2</v>
      </c>
      <c r="G5">
        <f>COUNTIFS(upfront[Useful life (George)],"&gt;0",upfront[location (George)],A5)</f>
        <v>6</v>
      </c>
      <c r="H5" s="81">
        <f>G5/E5</f>
        <v>0.75</v>
      </c>
    </row>
    <row r="6" spans="1:8" x14ac:dyDescent="0.45">
      <c r="A6" t="s">
        <v>82</v>
      </c>
      <c r="B6" s="11">
        <f>SUMIF(vehicle_data[Location],$A6,vehicle_data[Annual fuel costs])</f>
        <v>162144.11333333328</v>
      </c>
      <c r="C6" s="11">
        <f>SUMIF(vehicle_data[Location],$A6,vehicle_data[Annual maintenance costs])</f>
        <v>44336.51</v>
      </c>
      <c r="D6" s="11">
        <f t="shared" si="0"/>
        <v>206480.62333333329</v>
      </c>
      <c r="E6">
        <f>COUNTIF(upfront[location (George)],A6)</f>
        <v>9</v>
      </c>
      <c r="F6">
        <f t="shared" si="1"/>
        <v>4</v>
      </c>
      <c r="G6">
        <f>COUNTIFS(upfront[Useful life (George)],"&gt;0",upfront[location (George)],A6)</f>
        <v>5</v>
      </c>
      <c r="H6" s="81">
        <f>G6/E6</f>
        <v>0.55555555555555558</v>
      </c>
    </row>
    <row r="7" spans="1:8" x14ac:dyDescent="0.45">
      <c r="A7" t="s">
        <v>83</v>
      </c>
      <c r="B7" s="11">
        <f>SUMIF(vehicle_data[Location],$A7,vehicle_data[Annual fuel costs])</f>
        <v>462370.30681929196</v>
      </c>
      <c r="C7" s="11">
        <f>SUMIF(vehicle_data[Location],$A7,vehicle_data[Annual maintenance costs])</f>
        <v>214715.14000000007</v>
      </c>
      <c r="D7" s="11">
        <f t="shared" si="0"/>
        <v>677085.44681929203</v>
      </c>
      <c r="E7">
        <f>COUNTIF(upfront[location (George)],A7)</f>
        <v>20</v>
      </c>
      <c r="F7">
        <f t="shared" si="1"/>
        <v>7</v>
      </c>
      <c r="G7">
        <f>COUNTIFS(upfront[Useful life (George)],"&gt;0",upfront[location (George)],A7)</f>
        <v>13</v>
      </c>
      <c r="H7" s="81">
        <f>G7/E7</f>
        <v>0.65</v>
      </c>
    </row>
    <row r="8" spans="1:8" x14ac:dyDescent="0.45">
      <c r="A8" t="s">
        <v>84</v>
      </c>
      <c r="B8" s="11">
        <f>SUMIF(vehicle_data[Location],$A8,vehicle_data[Annual fuel costs])</f>
        <v>100801.40289743588</v>
      </c>
      <c r="C8" s="11">
        <f>SUMIF(vehicle_data[Location],$A8,vehicle_data[Annual maintenance costs])</f>
        <v>27080.960000000003</v>
      </c>
      <c r="D8" s="11">
        <f t="shared" si="0"/>
        <v>127882.36289743589</v>
      </c>
      <c r="E8">
        <f>COUNTIF(upfront[location (George)],A8)</f>
        <v>7</v>
      </c>
      <c r="F8">
        <f t="shared" si="1"/>
        <v>5</v>
      </c>
      <c r="G8">
        <f>COUNTIFS(upfront[Useful life (George)],"&gt;0",upfront[location (George)],A8)</f>
        <v>2</v>
      </c>
      <c r="H8" s="81">
        <f>G8/E8</f>
        <v>0.2857142857142857</v>
      </c>
    </row>
    <row r="9" spans="1:8" x14ac:dyDescent="0.45">
      <c r="A9" s="24" t="s">
        <v>85</v>
      </c>
      <c r="B9" s="32">
        <f>SUM(B4:B8)</f>
        <v>1071643.2866789089</v>
      </c>
      <c r="C9" s="32">
        <f>SUM(C4:C8)</f>
        <v>381083.7300000001</v>
      </c>
      <c r="D9" s="32">
        <f>SUM(D4:D8)</f>
        <v>1452727.0166789091</v>
      </c>
      <c r="E9" s="24">
        <f>SUM(E4:E8)</f>
        <v>53</v>
      </c>
      <c r="F9" s="24">
        <f>E9-G9</f>
        <v>21</v>
      </c>
      <c r="G9" s="24">
        <f>SUM(G4:G8)</f>
        <v>32</v>
      </c>
      <c r="H9" s="82">
        <f>AVERAGE(H4:H8)</f>
        <v>0.58158730158730154</v>
      </c>
    </row>
    <row r="16" spans="1:8" x14ac:dyDescent="0.45">
      <c r="D16" t="s">
        <v>86</v>
      </c>
    </row>
    <row r="17" spans="4:4" x14ac:dyDescent="0.45">
      <c r="D17" t="s">
        <v>87</v>
      </c>
    </row>
  </sheetData>
  <sortState xmlns:xlrd2="http://schemas.microsoft.com/office/spreadsheetml/2017/richdata2" ref="A4:A8">
    <sortCondition ref="A4"/>
  </sortState>
  <pageMargins left="0.7" right="0.7" top="0.75" bottom="0.75" header="0.3" footer="0.3"/>
  <pageSetup fitToWidth="0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53F8-F8EF-4FFC-8BEB-A7880A69C140}">
  <sheetPr>
    <tabColor rgb="FF92D050"/>
  </sheetPr>
  <dimension ref="A2:I91"/>
  <sheetViews>
    <sheetView zoomScaleNormal="100" workbookViewId="0">
      <selection activeCell="B6" sqref="B6"/>
    </sheetView>
  </sheetViews>
  <sheetFormatPr defaultRowHeight="14.25" x14ac:dyDescent="0.45"/>
  <cols>
    <col min="1" max="1" width="15.265625" customWidth="1"/>
    <col min="2" max="2" width="20.1328125" customWidth="1"/>
    <col min="3" max="3" width="11" style="11" customWidth="1"/>
    <col min="4" max="4" width="12.6640625" customWidth="1"/>
    <col min="5" max="5" width="14.265625" bestFit="1" customWidth="1"/>
    <col min="6" max="6" width="11.3984375" customWidth="1"/>
    <col min="7" max="7" width="8" customWidth="1"/>
    <col min="8" max="8" width="13.1328125" customWidth="1"/>
    <col min="9" max="9" width="12.1328125" style="30" bestFit="1" customWidth="1"/>
  </cols>
  <sheetData>
    <row r="2" spans="1:9" ht="42.75" x14ac:dyDescent="0.45">
      <c r="A2" t="s">
        <v>88</v>
      </c>
      <c r="B2" t="s">
        <v>80</v>
      </c>
      <c r="C2" s="21" t="s">
        <v>89</v>
      </c>
      <c r="D2">
        <f>COUNTIF(upfront[location (George)],B2)</f>
        <v>9</v>
      </c>
    </row>
    <row r="3" spans="1:9" ht="57" x14ac:dyDescent="0.45">
      <c r="C3" s="21" t="s">
        <v>90</v>
      </c>
      <c r="D3">
        <f>COUNTIFS(upfront[Useful life (George)],"&gt;0",upfront[location (George)],B2)</f>
        <v>6</v>
      </c>
    </row>
    <row r="5" spans="1:9" ht="57" x14ac:dyDescent="0.45">
      <c r="A5" s="8" t="s">
        <v>91</v>
      </c>
      <c r="B5" s="27" t="s">
        <v>92</v>
      </c>
      <c r="C5" s="28" t="s">
        <v>93</v>
      </c>
      <c r="D5" s="7" t="s">
        <v>94</v>
      </c>
      <c r="E5" s="27" t="s">
        <v>95</v>
      </c>
      <c r="F5" s="27" t="s">
        <v>75</v>
      </c>
      <c r="G5" s="29" t="s">
        <v>96</v>
      </c>
      <c r="H5" s="29" t="s">
        <v>97</v>
      </c>
      <c r="I5" s="39" t="s">
        <v>98</v>
      </c>
    </row>
    <row r="6" spans="1:9" x14ac:dyDescent="0.45">
      <c r="A6" t="s">
        <v>99</v>
      </c>
      <c r="B6" s="20" t="str">
        <f>VLOOKUP(A6,fleetio[],8,FALSE)</f>
        <v>2014 Ford F-150 XL</v>
      </c>
      <c r="C6" s="26">
        <f>VLOOKUP(A6,upfront[],8,FALSE)</f>
        <v>7</v>
      </c>
      <c r="D6" s="11">
        <f>SUMIF(vehicle_data[Vehicle],$A6,vehicle_data[Annual fuel costs])</f>
        <v>24554.852777777778</v>
      </c>
      <c r="E6" s="11">
        <f>SUMIF(vehicle_data[Vehicle],$A6,vehicle_data[Annual maintenance costs])</f>
        <v>12116.869999999999</v>
      </c>
      <c r="F6" s="11">
        <f>SUM(D6,E6)</f>
        <v>36671.722777777773</v>
      </c>
      <c r="G6" s="30">
        <f>VLOOKUP(A6,upfront[],7,FALSE)</f>
        <v>5</v>
      </c>
      <c r="H6" s="23">
        <f>IF(G6="Useful","N/A", (-1*_xlfn.MINIFS(vehicle_data[Asset value less lifetime fuel and maintenance costs],vehicle_data[Vehicle],A6)))</f>
        <v>23931.722777777766</v>
      </c>
      <c r="I6" s="38">
        <f>VLOOKUP(A6,upfront[],11,FALSE)</f>
        <v>145526.5</v>
      </c>
    </row>
    <row r="7" spans="1:9" x14ac:dyDescent="0.45">
      <c r="A7" t="s">
        <v>100</v>
      </c>
      <c r="B7" s="20" t="str">
        <f>VLOOKUP(A7,fleetio[],8,FALSE)</f>
        <v>2014 Ford F-150 XL</v>
      </c>
      <c r="C7" s="26">
        <f>VLOOKUP(A7,upfront[],8,FALSE)</f>
        <v>7</v>
      </c>
      <c r="D7" s="11">
        <f>SUMIF(vehicle_data[Vehicle],$A7,vehicle_data[Annual fuel costs])</f>
        <v>24602.013888888891</v>
      </c>
      <c r="E7" s="11">
        <f>SUMIF(vehicle_data[Vehicle],$A7,vehicle_data[Annual maintenance costs])</f>
        <v>8318.27</v>
      </c>
      <c r="F7" s="11">
        <f t="shared" ref="F7:F13" si="0">SUM(D7,E7)</f>
        <v>32920.283888888895</v>
      </c>
      <c r="G7" s="30">
        <f>VLOOKUP(A7,upfront[],7,FALSE)</f>
        <v>4</v>
      </c>
      <c r="H7" s="23">
        <f>IF(G7="Useful","N/A", (-1*_xlfn.MINIFS(vehicle_data[Asset value less lifetime fuel and maintenance costs],vehicle_data[Vehicle],A7)))</f>
        <v>22920.283888888895</v>
      </c>
      <c r="I7" s="38">
        <f>VLOOKUP(A7,upfront[],11,FALSE)</f>
        <v>129066</v>
      </c>
    </row>
    <row r="8" spans="1:9" ht="42.75" x14ac:dyDescent="0.45">
      <c r="A8" t="s">
        <v>101</v>
      </c>
      <c r="B8" s="20" t="str">
        <f>VLOOKUP(A8,fleetio[],8,FALSE)</f>
        <v>2011 Chevrolet Silverado 1500 Work Truck</v>
      </c>
      <c r="C8" s="26">
        <f>VLOOKUP(A8,upfront[],8,FALSE)</f>
        <v>8</v>
      </c>
      <c r="D8" s="11">
        <f>SUMIF(vehicle_data[Vehicle],$A8,vehicle_data[Annual fuel costs])</f>
        <v>34739.556153846155</v>
      </c>
      <c r="E8" s="11">
        <f>SUMIF(vehicle_data[Vehicle],$A8,vehicle_data[Annual maintenance costs])</f>
        <v>10948.94</v>
      </c>
      <c r="F8" s="11">
        <f t="shared" si="0"/>
        <v>45688.496153846158</v>
      </c>
      <c r="G8" s="30">
        <f>VLOOKUP(A8,upfront[],7,FALSE)</f>
        <v>4</v>
      </c>
      <c r="H8" s="23">
        <f>IF(G8="Useful","N/A", (-1*_xlfn.MINIFS(vehicle_data[Asset value less lifetime fuel and maintenance costs],vehicle_data[Vehicle],A8)))</f>
        <v>36568.496153846158</v>
      </c>
      <c r="I8" s="38">
        <f>VLOOKUP(A8,upfront[],11,FALSE)</f>
        <v>94343</v>
      </c>
    </row>
    <row r="9" spans="1:9" x14ac:dyDescent="0.45">
      <c r="A9" t="s">
        <v>102</v>
      </c>
      <c r="B9" s="20" t="str">
        <f>VLOOKUP(A9,fleetio[],8,FALSE)</f>
        <v>2014 Ford F-150 XL</v>
      </c>
      <c r="C9" s="26">
        <f>VLOOKUP(A9,upfront[],8,FALSE)</f>
        <v>6</v>
      </c>
      <c r="D9" s="11">
        <f>SUMIF(vehicle_data[Vehicle],$A9,vehicle_data[Annual fuel costs])</f>
        <v>17488.151666666668</v>
      </c>
      <c r="E9" s="11">
        <f>SUMIF(vehicle_data[Vehicle],$A9,vehicle_data[Annual maintenance costs])</f>
        <v>4175.3100000000004</v>
      </c>
      <c r="F9" s="11">
        <f t="shared" si="0"/>
        <v>21663.46166666667</v>
      </c>
      <c r="G9" s="30">
        <f>VLOOKUP(A9,upfront[],7,FALSE)</f>
        <v>5</v>
      </c>
      <c r="H9" s="23">
        <f>IF(G9="Useful","N/A", (-1*_xlfn.MINIFS(vehicle_data[Asset value less lifetime fuel and maintenance costs],vehicle_data[Vehicle],A9)))</f>
        <v>9543.4616666666752</v>
      </c>
      <c r="I9" s="38">
        <f>VLOOKUP(A9,upfront[],11,FALSE)</f>
        <v>108417</v>
      </c>
    </row>
    <row r="10" spans="1:9" ht="42.75" x14ac:dyDescent="0.45">
      <c r="A10" t="s">
        <v>103</v>
      </c>
      <c r="B10" s="20" t="str">
        <f>VLOOKUP(A10,fleetio[],8,FALSE)</f>
        <v>2011 Chevrolet Silverado 1500 Work Truck</v>
      </c>
      <c r="C10" s="26">
        <f>VLOOKUP(A10,upfront[],8,FALSE)</f>
        <v>6</v>
      </c>
      <c r="D10" s="11">
        <f>SUMIF(vehicle_data[Vehicle],$A10,vehicle_data[Annual fuel costs])</f>
        <v>30752.293076923077</v>
      </c>
      <c r="E10" s="11">
        <f>SUMIF(vehicle_data[Vehicle],$A10,vehicle_data[Annual maintenance costs])</f>
        <v>7460.8</v>
      </c>
      <c r="F10" s="11">
        <f t="shared" si="0"/>
        <v>38213.093076923076</v>
      </c>
      <c r="G10" s="30">
        <f>VLOOKUP(A10,upfront[],7,FALSE)</f>
        <v>4</v>
      </c>
      <c r="H10" s="23">
        <f>IF(G10="Useful","N/A", (-1*_xlfn.MINIFS(vehicle_data[Asset value less lifetime fuel and maintenance costs],vehicle_data[Vehicle],A10)))</f>
        <v>28153.093076923076</v>
      </c>
      <c r="I10" s="38">
        <f>VLOOKUP(A10,upfront[],11,FALSE)</f>
        <v>115418</v>
      </c>
    </row>
    <row r="11" spans="1:9" x14ac:dyDescent="0.45">
      <c r="A11" t="s">
        <v>104</v>
      </c>
      <c r="B11" s="20" t="str">
        <f>VLOOKUP(A11,fleetio[],8,FALSE)</f>
        <v>2014 Ford F-150 XL</v>
      </c>
      <c r="C11" s="26">
        <f>VLOOKUP(A11,upfront[],8,FALSE)</f>
        <v>6</v>
      </c>
      <c r="D11" s="11">
        <f>SUMIF(vehicle_data[Vehicle],$A11,vehicle_data[Annual fuel costs])</f>
        <v>19861.884444444444</v>
      </c>
      <c r="E11" s="11">
        <f>SUMIF(vehicle_data[Vehicle],$A11,vehicle_data[Annual maintenance costs])</f>
        <v>4065</v>
      </c>
      <c r="F11" s="11">
        <f t="shared" si="0"/>
        <v>23926.884444444444</v>
      </c>
      <c r="G11" s="30">
        <f>VLOOKUP(A11,upfront[],7,FALSE)</f>
        <v>5</v>
      </c>
      <c r="H11" s="23">
        <f>IF(G11="Useful","N/A", (-1*_xlfn.MINIFS(vehicle_data[Asset value less lifetime fuel and maintenance costs],vehicle_data[Vehicle],A11)))</f>
        <v>8276.8844444444494</v>
      </c>
      <c r="I11" s="38">
        <f>VLOOKUP(A11,upfront[],11,FALSE)</f>
        <v>134227</v>
      </c>
    </row>
    <row r="12" spans="1:9" x14ac:dyDescent="0.45">
      <c r="A12" t="s">
        <v>105</v>
      </c>
      <c r="B12" s="20" t="str">
        <f>VLOOKUP(A12,fleetio[],8,FALSE)</f>
        <v>2018 Ford F-150 XL</v>
      </c>
      <c r="C12" s="26">
        <f>VLOOKUP(A12,upfront[],8,FALSE)</f>
        <v>2</v>
      </c>
      <c r="D12" s="11">
        <f>SUMIF(vehicle_data[Vehicle],$A12,vehicle_data[Annual fuel costs])</f>
        <v>3764.6052631578946</v>
      </c>
      <c r="E12" s="11">
        <f>SUMIF(vehicle_data[Vehicle],$A12,vehicle_data[Annual maintenance costs])</f>
        <v>354</v>
      </c>
      <c r="F12" s="11">
        <f t="shared" si="0"/>
        <v>4118.605263157895</v>
      </c>
      <c r="G12" s="30" t="str">
        <f>VLOOKUP(A12,upfront[],7,FALSE)</f>
        <v>Useful</v>
      </c>
      <c r="H12" s="23" t="str">
        <f>IF(G12="Useful","N/A", (-1*_xlfn.MINIFS(vehicle_data[Asset value less lifetime fuel and maintenance costs],vehicle_data[Vehicle],A12)))</f>
        <v>N/A</v>
      </c>
      <c r="I12" s="38" t="str">
        <f>VLOOKUP(A12,upfront[],11,FALSE)</f>
        <v>N/A</v>
      </c>
    </row>
    <row r="13" spans="1:9" ht="28.5" x14ac:dyDescent="0.45">
      <c r="A13" t="s">
        <v>106</v>
      </c>
      <c r="B13" s="20" t="str">
        <f>VLOOKUP(A13,fleetio[],8,FALSE)</f>
        <v>2019 Ford Transit Cargo 350</v>
      </c>
      <c r="C13" s="26">
        <f>VLOOKUP(A13,upfront[],8,FALSE)</f>
        <v>2</v>
      </c>
      <c r="D13" s="11">
        <f>SUMIF(vehicle_data[Vehicle],$A13,vehicle_data[Annual fuel costs])</f>
        <v>6755.1</v>
      </c>
      <c r="E13" s="11">
        <f>SUMIF(vehicle_data[Vehicle],$A13,vehicle_data[Annual maintenance costs])</f>
        <v>970</v>
      </c>
      <c r="F13" s="11">
        <f t="shared" si="0"/>
        <v>7725.1</v>
      </c>
      <c r="G13" s="30" t="str">
        <f>VLOOKUP(A13,upfront[],7,FALSE)</f>
        <v>Useful</v>
      </c>
      <c r="H13" s="23" t="str">
        <f>IF(G13="Useful","N/A", (-1*_xlfn.MINIFS(vehicle_data[Asset value less lifetime fuel and maintenance costs],vehicle_data[Vehicle],A13)))</f>
        <v>N/A</v>
      </c>
      <c r="I13" s="38" t="str">
        <f>VLOOKUP(A13,upfront[],11,FALSE)</f>
        <v>N/A</v>
      </c>
    </row>
    <row r="14" spans="1:9" ht="29.25" customHeight="1" x14ac:dyDescent="0.45">
      <c r="A14" t="s">
        <v>107</v>
      </c>
      <c r="B14" s="20" t="str">
        <f>VLOOKUP(A14,fleetio[],8,FALSE)</f>
        <v>2019 Ford Transit Cargo 350</v>
      </c>
      <c r="C14" s="26">
        <f>VLOOKUP(A14,upfront[],8,FALSE)</f>
        <v>1</v>
      </c>
      <c r="D14" s="11">
        <f>SUMIF(vehicle_data[Vehicle],$A14,vehicle_data[Annual fuel costs])</f>
        <v>5767</v>
      </c>
      <c r="E14" s="11">
        <f>SUMIF(vehicle_data[Vehicle],$A14,vehicle_data[Annual maintenance costs])</f>
        <v>394</v>
      </c>
      <c r="F14" s="11">
        <f t="shared" ref="F14" si="1">SUM(D14,E14)</f>
        <v>6161</v>
      </c>
      <c r="G14" s="30" t="str">
        <f>VLOOKUP(A14,upfront[],7,FALSE)</f>
        <v>Useful</v>
      </c>
      <c r="H14" s="23" t="str">
        <f>IF(G14="Useful","N/A", (-1*_xlfn.MINIFS(vehicle_data[Asset value less lifetime fuel and maintenance costs],vehicle_data[Vehicle],A14)))</f>
        <v>N/A</v>
      </c>
      <c r="I14" s="38" t="str">
        <f>VLOOKUP(A14,upfront[],11,FALSE)</f>
        <v>N/A</v>
      </c>
    </row>
    <row r="15" spans="1:9" x14ac:dyDescent="0.45">
      <c r="A15" s="24" t="s">
        <v>85</v>
      </c>
      <c r="D15" s="32">
        <f>SUM(D6:D14)</f>
        <v>168285.45727170492</v>
      </c>
      <c r="E15" s="32">
        <f>SUM(E6:E14)</f>
        <v>48803.19</v>
      </c>
      <c r="F15" s="32">
        <f>SUM(F6:F14)</f>
        <v>217088.64727170492</v>
      </c>
      <c r="H15" s="32">
        <f>SUM(H6:H14)</f>
        <v>129393.94200854702</v>
      </c>
      <c r="I15" s="40"/>
    </row>
    <row r="17" spans="1:9" ht="42.75" x14ac:dyDescent="0.45">
      <c r="A17" t="s">
        <v>88</v>
      </c>
      <c r="B17" t="s">
        <v>81</v>
      </c>
      <c r="C17" s="21" t="s">
        <v>89</v>
      </c>
      <c r="D17">
        <f>COUNTIF(upfront[location (George)],B17)</f>
        <v>8</v>
      </c>
    </row>
    <row r="18" spans="1:9" ht="57" x14ac:dyDescent="0.45">
      <c r="C18" s="21" t="s">
        <v>90</v>
      </c>
      <c r="D18">
        <f>COUNTIFS(upfront[Useful life (George)],"&gt;0",upfront[location (George)],B17)</f>
        <v>6</v>
      </c>
    </row>
    <row r="20" spans="1:9" ht="57" x14ac:dyDescent="0.45">
      <c r="A20" s="8" t="s">
        <v>91</v>
      </c>
      <c r="B20" s="27" t="s">
        <v>92</v>
      </c>
      <c r="C20" s="28" t="s">
        <v>93</v>
      </c>
      <c r="D20" s="7" t="s">
        <v>94</v>
      </c>
      <c r="E20" s="27" t="s">
        <v>95</v>
      </c>
      <c r="F20" s="27" t="s">
        <v>75</v>
      </c>
      <c r="G20" s="29" t="s">
        <v>96</v>
      </c>
      <c r="H20" s="29" t="s">
        <v>97</v>
      </c>
      <c r="I20" s="39" t="s">
        <v>98</v>
      </c>
    </row>
    <row r="21" spans="1:9" ht="28.5" x14ac:dyDescent="0.45">
      <c r="A21" t="s">
        <v>108</v>
      </c>
      <c r="B21" s="20" t="str">
        <f>VLOOKUP(A21,fleetio[],8,FALSE)</f>
        <v>2014 Ram Ram Pickup 1500 Tradesman</v>
      </c>
      <c r="C21" s="26">
        <f>VLOOKUP(A21,upfront[],8,FALSE)</f>
        <v>5</v>
      </c>
      <c r="D21" s="11">
        <f>SUMIF(vehicle_data[Vehicle],$A21,vehicle_data[Annual fuel costs])</f>
        <v>24674.511428571426</v>
      </c>
      <c r="E21" s="11">
        <f>SUMIF(vehicle_data[Vehicle],$A21,vehicle_data[Annual maintenance costs])</f>
        <v>5599.8200000000006</v>
      </c>
      <c r="F21" s="11">
        <f>SUM(D21,E21)</f>
        <v>30274.331428571426</v>
      </c>
      <c r="G21" s="30">
        <f>VLOOKUP(A21,upfront[],7,FALSE)</f>
        <v>4</v>
      </c>
      <c r="H21" s="23">
        <f>IF(G21="Useful","N/A", (-1*_xlfn.MINIFS(vehicle_data[Asset value less lifetime fuel and maintenance costs],vehicle_data[Vehicle],A21)))</f>
        <v>18754.33142857143</v>
      </c>
      <c r="I21" s="38">
        <f>VLOOKUP(A21,upfront[],11,FALSE)</f>
        <v>109675</v>
      </c>
    </row>
    <row r="22" spans="1:9" ht="28.5" x14ac:dyDescent="0.45">
      <c r="A22" t="s">
        <v>109</v>
      </c>
      <c r="B22" s="20" t="str">
        <f>VLOOKUP(A22,fleetio[],8,FALSE)</f>
        <v>2012 Ford F-250 Super Duty XL</v>
      </c>
      <c r="C22" s="26">
        <f>VLOOKUP(A22,upfront[],8,FALSE)</f>
        <v>6</v>
      </c>
      <c r="D22" s="11">
        <f>SUMIF(vehicle_data[Vehicle],$A22,vehicle_data[Annual fuel costs])</f>
        <v>35045.490714285719</v>
      </c>
      <c r="E22" s="11">
        <f>SUMIF(vehicle_data[Vehicle],$A22,vehicle_data[Annual maintenance costs])</f>
        <v>6441.91</v>
      </c>
      <c r="F22" s="11">
        <f t="shared" ref="F22:F28" si="2">SUM(D22,E22)</f>
        <v>41487.400714285715</v>
      </c>
      <c r="G22" s="30">
        <f>VLOOKUP(A22,upfront[],7,FALSE)</f>
        <v>3</v>
      </c>
      <c r="H22" s="23">
        <f>IF(G22="Useful","N/A", (-1*_xlfn.MINIFS(vehicle_data[Asset value less lifetime fuel and maintenance costs],vehicle_data[Vehicle],A22)))</f>
        <v>32127.400714285719</v>
      </c>
      <c r="I22" s="38">
        <f>VLOOKUP(A22,upfront[],11,FALSE)</f>
        <v>131739</v>
      </c>
    </row>
    <row r="23" spans="1:9" ht="28.5" x14ac:dyDescent="0.45">
      <c r="A23" t="s">
        <v>110</v>
      </c>
      <c r="B23" s="20" t="str">
        <f>VLOOKUP(A23,fleetio[],8,FALSE)</f>
        <v>2014 Ram Ram Pickup 1500 Tradesman</v>
      </c>
      <c r="C23" s="26">
        <f>VLOOKUP(A23,upfront[],8,FALSE)</f>
        <v>5</v>
      </c>
      <c r="D23" s="11">
        <f>SUMIF(vehicle_data[Vehicle],$A23,vehicle_data[Annual fuel costs])</f>
        <v>19190.523125</v>
      </c>
      <c r="E23" s="11">
        <f>SUMIF(vehicle_data[Vehicle],$A23,vehicle_data[Annual maintenance costs])</f>
        <v>3455.95</v>
      </c>
      <c r="F23" s="11">
        <f t="shared" si="2"/>
        <v>22646.473125</v>
      </c>
      <c r="G23" s="30">
        <f>VLOOKUP(A23,upfront[],7,FALSE)</f>
        <v>5</v>
      </c>
      <c r="H23" s="23">
        <f>IF(G23="Useful","N/A", (-1*_xlfn.MINIFS(vehicle_data[Asset value less lifetime fuel and maintenance costs],vehicle_data[Vehicle],A23)))</f>
        <v>8186.4731250000059</v>
      </c>
      <c r="I23" s="38">
        <f>VLOOKUP(A23,upfront[],11,FALSE)</f>
        <v>120244</v>
      </c>
    </row>
    <row r="24" spans="1:9" ht="28.5" x14ac:dyDescent="0.45">
      <c r="A24" t="s">
        <v>111</v>
      </c>
      <c r="B24" s="20" t="str">
        <f>VLOOKUP(A24,fleetio[],8,FALSE)</f>
        <v>2014 Ram Ram Pickup 1500 Tradesman</v>
      </c>
      <c r="C24" s="26">
        <f>VLOOKUP(A24,upfront[],8,FALSE)</f>
        <v>5</v>
      </c>
      <c r="D24" s="11">
        <f>SUMIF(vehicle_data[Vehicle],$A24,vehicle_data[Annual fuel costs])</f>
        <v>22406.599375000002</v>
      </c>
      <c r="E24" s="11">
        <f>SUMIF(vehicle_data[Vehicle],$A24,vehicle_data[Annual maintenance costs])</f>
        <v>9622.9900000000016</v>
      </c>
      <c r="F24" s="11">
        <f t="shared" si="2"/>
        <v>32029.589375000003</v>
      </c>
      <c r="G24" s="30">
        <f>VLOOKUP(A24,upfront[],7,FALSE)</f>
        <v>4</v>
      </c>
      <c r="H24" s="23">
        <f>IF(G24="Useful","N/A", (-1*_xlfn.MINIFS(vehicle_data[Asset value less lifetime fuel and maintenance costs],vehicle_data[Vehicle],A24)))</f>
        <v>19409.589375000003</v>
      </c>
      <c r="I24" s="38">
        <f>VLOOKUP(A24,upfront[],11,FALSE)</f>
        <v>127000</v>
      </c>
    </row>
    <row r="25" spans="1:9" ht="28.5" x14ac:dyDescent="0.45">
      <c r="A25" t="s">
        <v>112</v>
      </c>
      <c r="B25" s="20" t="str">
        <f>VLOOKUP(A25,fleetio[],8,FALSE)</f>
        <v>2012 Ford F-250 Super Duty XL</v>
      </c>
      <c r="C25" s="26">
        <f>VLOOKUP(A25,upfront[],8,FALSE)</f>
        <v>7</v>
      </c>
      <c r="D25" s="11">
        <f>SUMIF(vehicle_data[Vehicle],$A25,vehicle_data[Annual fuel costs])</f>
        <v>35229.495714285717</v>
      </c>
      <c r="E25" s="11">
        <f>SUMIF(vehicle_data[Vehicle],$A25,vehicle_data[Annual maintenance costs])</f>
        <v>7967.49</v>
      </c>
      <c r="F25" s="11">
        <f t="shared" si="2"/>
        <v>43196.985714285714</v>
      </c>
      <c r="G25" s="30">
        <f>VLOOKUP(A25,upfront[],7,FALSE)</f>
        <v>4</v>
      </c>
      <c r="H25" s="23">
        <f>IF(G25="Useful","N/A", (-1*_xlfn.MINIFS(vehicle_data[Asset value less lifetime fuel and maintenance costs],vehicle_data[Vehicle],A25)))</f>
        <v>33196.985714285722</v>
      </c>
      <c r="I25" s="38">
        <f>VLOOKUP(A25,upfront[],11,FALSE)</f>
        <v>134991</v>
      </c>
    </row>
    <row r="26" spans="1:9" x14ac:dyDescent="0.45">
      <c r="A26" t="s">
        <v>113</v>
      </c>
      <c r="B26" s="20" t="str">
        <f>VLOOKUP(A26,fleetio[],8,FALSE)</f>
        <v>TBD</v>
      </c>
      <c r="C26" s="26">
        <f>VLOOKUP(A26,upfront[],8,FALSE)</f>
        <v>6</v>
      </c>
      <c r="D26" s="11">
        <f>SUMIF(vehicle_data[Vehicle],$A26,vehicle_data[Annual fuel costs])</f>
        <v>28479.552666666666</v>
      </c>
      <c r="E26" s="11">
        <f>SUMIF(vehicle_data[Vehicle],$A26,vehicle_data[Annual maintenance costs])</f>
        <v>11336.230000000001</v>
      </c>
      <c r="F26" s="11">
        <f t="shared" ref="F26" si="3">SUM(D26,E26)</f>
        <v>39815.782666666666</v>
      </c>
      <c r="G26" s="30">
        <f>VLOOKUP(A26,upfront[],7,FALSE)</f>
        <v>4</v>
      </c>
      <c r="H26" s="23">
        <f>IF(G26="Useful","N/A", (-1*_xlfn.MINIFS(vehicle_data[Asset value less lifetime fuel and maintenance costs],vehicle_data[Vehicle],A26)))</f>
        <v>29815.782666666662</v>
      </c>
      <c r="I26" s="38">
        <f>VLOOKUP(A26,upfront[],11,FALSE)</f>
        <v>117308</v>
      </c>
    </row>
    <row r="27" spans="1:9" ht="28.5" x14ac:dyDescent="0.45">
      <c r="A27" t="s">
        <v>114</v>
      </c>
      <c r="B27" s="20" t="str">
        <f>VLOOKUP(A27,fleetio[],8,FALSE)</f>
        <v>2019 Ford Transit Cargo 250</v>
      </c>
      <c r="C27" s="26">
        <f>VLOOKUP(A27,upfront[],8,FALSE)</f>
        <v>1</v>
      </c>
      <c r="D27" s="11">
        <f>SUMIF(vehicle_data[Vehicle],$A27,vehicle_data[Annual fuel costs])</f>
        <v>6849.1666666666661</v>
      </c>
      <c r="E27" s="11">
        <f>SUMIF(vehicle_data[Vehicle],$A27,vehicle_data[Annual maintenance costs])</f>
        <v>1410.79</v>
      </c>
      <c r="F27" s="11">
        <f t="shared" si="2"/>
        <v>8259.9566666666651</v>
      </c>
      <c r="G27" s="30" t="str">
        <f>VLOOKUP(A27,upfront[],7,FALSE)</f>
        <v>Useful</v>
      </c>
      <c r="H27" s="23" t="str">
        <f>IF(G27="Useful","N/A", (-1*_xlfn.MINIFS(vehicle_data[Asset value less lifetime fuel and maintenance costs],vehicle_data[Vehicle],A27)))</f>
        <v>N/A</v>
      </c>
      <c r="I27" s="38" t="str">
        <f>VLOOKUP(A27,upfront[],11,FALSE)</f>
        <v>N/A</v>
      </c>
    </row>
    <row r="28" spans="1:9" ht="28.5" x14ac:dyDescent="0.45">
      <c r="A28" t="s">
        <v>115</v>
      </c>
      <c r="B28" s="20" t="str">
        <f>VLOOKUP(A28,fleetio[],8,FALSE)</f>
        <v>2019 Ford Transit Cargo 250</v>
      </c>
      <c r="C28" s="26">
        <f>VLOOKUP(A28,upfront[],8,FALSE)</f>
        <v>1</v>
      </c>
      <c r="D28" s="11">
        <f>SUMIF(vehicle_data[Vehicle],$A28,vehicle_data[Annual fuel costs])</f>
        <v>6166.6666666666661</v>
      </c>
      <c r="E28" s="11">
        <f>SUMIF(vehicle_data[Vehicle],$A28,vehicle_data[Annual maintenance costs])</f>
        <v>312.75</v>
      </c>
      <c r="F28" s="11">
        <f t="shared" si="2"/>
        <v>6479.4166666666661</v>
      </c>
      <c r="G28" s="30" t="str">
        <f>VLOOKUP(A28,upfront[],7,FALSE)</f>
        <v>Useful</v>
      </c>
      <c r="H28" s="23" t="str">
        <f>IF(G28="Useful","N/A", (-1*_xlfn.MINIFS(vehicle_data[Asset value less lifetime fuel and maintenance costs],vehicle_data[Vehicle],A28)))</f>
        <v>N/A</v>
      </c>
      <c r="I28" s="38" t="str">
        <f>VLOOKUP(A28,upfront[],11,FALSE)</f>
        <v>N/A</v>
      </c>
    </row>
    <row r="29" spans="1:9" x14ac:dyDescent="0.45">
      <c r="A29" s="24" t="s">
        <v>85</v>
      </c>
      <c r="D29" s="32">
        <f>SUM(D19:D28)</f>
        <v>178042.00635714285</v>
      </c>
      <c r="E29" s="32">
        <f>SUM(E19:E28)</f>
        <v>46147.930000000008</v>
      </c>
      <c r="F29" s="32">
        <f>SUM(F19:F28)</f>
        <v>224189.93635714287</v>
      </c>
      <c r="G29" s="30"/>
      <c r="H29" s="32">
        <f>SUM(H19:H28)</f>
        <v>141490.56302380955</v>
      </c>
    </row>
    <row r="30" spans="1:9" x14ac:dyDescent="0.45">
      <c r="C30" s="26"/>
      <c r="D30" s="11"/>
      <c r="E30" s="11"/>
      <c r="F30" s="11"/>
      <c r="G30" s="30"/>
      <c r="H30" s="30"/>
    </row>
    <row r="32" spans="1:9" ht="42.75" x14ac:dyDescent="0.45">
      <c r="A32" t="s">
        <v>88</v>
      </c>
      <c r="B32" t="s">
        <v>82</v>
      </c>
      <c r="C32" s="21" t="s">
        <v>89</v>
      </c>
      <c r="D32">
        <f>COUNTIF(upfront[location (George)],B32)</f>
        <v>9</v>
      </c>
    </row>
    <row r="33" spans="1:9" ht="57" x14ac:dyDescent="0.45">
      <c r="C33" s="21" t="s">
        <v>90</v>
      </c>
      <c r="D33">
        <f>COUNTIFS(upfront[Useful life (George)],"&gt;0",upfront[location (George)],B32)</f>
        <v>5</v>
      </c>
    </row>
    <row r="35" spans="1:9" ht="57" x14ac:dyDescent="0.45">
      <c r="A35" s="8" t="s">
        <v>91</v>
      </c>
      <c r="B35" s="27" t="s">
        <v>92</v>
      </c>
      <c r="C35" s="28" t="s">
        <v>93</v>
      </c>
      <c r="D35" s="7" t="s">
        <v>94</v>
      </c>
      <c r="E35" s="27" t="s">
        <v>95</v>
      </c>
      <c r="F35" s="27" t="s">
        <v>75</v>
      </c>
      <c r="G35" s="29" t="s">
        <v>96</v>
      </c>
      <c r="H35" s="29" t="s">
        <v>97</v>
      </c>
      <c r="I35" s="39" t="s">
        <v>98</v>
      </c>
    </row>
    <row r="36" spans="1:9" x14ac:dyDescent="0.45">
      <c r="A36" t="s">
        <v>116</v>
      </c>
      <c r="B36" s="20" t="str">
        <f>VLOOKUP(A36,fleetio[],8,FALSE)</f>
        <v>2014 Ford F-150 XL</v>
      </c>
      <c r="C36" s="26">
        <f>VLOOKUP(A36,upfront[],8,FALSE)</f>
        <v>6</v>
      </c>
      <c r="D36" s="11">
        <f>SUMIF(vehicle_data[Vehicle],$A36,vehicle_data[Annual fuel costs])</f>
        <v>11567.782222222222</v>
      </c>
      <c r="E36" s="11">
        <f>SUMIF(vehicle_data[Vehicle],$A36,vehicle_data[Annual maintenance costs])</f>
        <v>3653.26</v>
      </c>
      <c r="F36" s="11">
        <f>SUM(D36,E36)</f>
        <v>15221.042222222222</v>
      </c>
      <c r="G36" s="30" t="str">
        <f>VLOOKUP(A36,upfront[],7,FALSE)</f>
        <v>Useful</v>
      </c>
      <c r="H36" s="23" t="str">
        <f>IF(G36="Useful","N/A", (-1*_xlfn.MINIFS(vehicle_data[Asset value less lifetime fuel and maintenance costs],vehicle_data[Vehicle],A36)))</f>
        <v>N/A</v>
      </c>
      <c r="I36" s="38" t="str">
        <f>VLOOKUP(A36,upfront[],11,FALSE)</f>
        <v>N/A</v>
      </c>
    </row>
    <row r="37" spans="1:9" x14ac:dyDescent="0.45">
      <c r="A37" t="s">
        <v>117</v>
      </c>
      <c r="B37" s="20" t="str">
        <f>VLOOKUP(A37,fleetio[],8,FALSE)</f>
        <v>2013 Ford F-150 XL</v>
      </c>
      <c r="C37" s="26">
        <f>VLOOKUP(A37,upfront[],8,FALSE)</f>
        <v>6</v>
      </c>
      <c r="D37" s="11">
        <f>SUMIF(vehicle_data[Vehicle],$A37,vehicle_data[Annual fuel costs])</f>
        <v>21294.807222222225</v>
      </c>
      <c r="E37" s="11">
        <f>SUMIF(vehicle_data[Vehicle],$A37,vehicle_data[Annual maintenance costs])</f>
        <v>8246.11</v>
      </c>
      <c r="F37" s="11">
        <f t="shared" ref="F37:F44" si="4">SUM(D37,E37)</f>
        <v>29540.917222222226</v>
      </c>
      <c r="G37" s="30">
        <f>VLOOKUP(A37,upfront[],7,FALSE)</f>
        <v>4</v>
      </c>
      <c r="H37" s="23">
        <f>IF(G37="Useful","N/A", (-1*_xlfn.MINIFS(vehicle_data[Asset value less lifetime fuel and maintenance costs],vehicle_data[Vehicle],A37)))</f>
        <v>18240.917222222219</v>
      </c>
      <c r="I37" s="38">
        <f>VLOOKUP(A37,upfront[],11,FALSE)</f>
        <v>111972</v>
      </c>
    </row>
    <row r="38" spans="1:9" x14ac:dyDescent="0.45">
      <c r="A38" t="s">
        <v>118</v>
      </c>
      <c r="B38" s="20" t="str">
        <f>VLOOKUP(A38,fleetio[],8,FALSE)</f>
        <v>2013 Ford F-150 XL</v>
      </c>
      <c r="C38" s="26">
        <f>VLOOKUP(A38,upfront[],8,FALSE)</f>
        <v>5</v>
      </c>
      <c r="D38" s="11">
        <f>SUMIF(vehicle_data[Vehicle],$A38,vehicle_data[Annual fuel costs])</f>
        <v>20552.240555555556</v>
      </c>
      <c r="E38" s="11">
        <f>SUMIF(vehicle_data[Vehicle],$A38,vehicle_data[Annual maintenance costs])</f>
        <v>9626.0500000000011</v>
      </c>
      <c r="F38" s="11">
        <f t="shared" si="4"/>
        <v>30178.290555555555</v>
      </c>
      <c r="G38" s="30">
        <f>VLOOKUP(A38,upfront[],7,FALSE)</f>
        <v>4</v>
      </c>
      <c r="H38" s="23">
        <f>IF(G38="Useful","N/A", (-1*_xlfn.MINIFS(vehicle_data[Asset value less lifetime fuel and maintenance costs],vehicle_data[Vehicle],A38)))</f>
        <v>17578.290555555548</v>
      </c>
      <c r="I38" s="38">
        <f>VLOOKUP(A38,upfront[],11,FALSE)</f>
        <v>120523</v>
      </c>
    </row>
    <row r="39" spans="1:9" x14ac:dyDescent="0.45">
      <c r="A39" t="s">
        <v>119</v>
      </c>
      <c r="B39" s="20" t="str">
        <f>VLOOKUP(A39,fleetio[],8,FALSE)</f>
        <v>2013 Ford F-150 XL</v>
      </c>
      <c r="C39" s="26">
        <f>VLOOKUP(A39,upfront[],8,FALSE)</f>
        <v>6</v>
      </c>
      <c r="D39" s="11">
        <f>SUMIF(vehicle_data[Vehicle],$A39,vehicle_data[Annual fuel costs])</f>
        <v>24809.275000000001</v>
      </c>
      <c r="E39" s="11">
        <f>SUMIF(vehicle_data[Vehicle],$A39,vehicle_data[Annual maintenance costs])</f>
        <v>7130.8099999999995</v>
      </c>
      <c r="F39" s="11">
        <f t="shared" si="4"/>
        <v>31940.084999999999</v>
      </c>
      <c r="G39" s="30">
        <f>VLOOKUP(A39,upfront[],7,FALSE)</f>
        <v>4</v>
      </c>
      <c r="H39" s="23">
        <f>IF(G39="Useful","N/A", (-1*_xlfn.MINIFS(vehicle_data[Asset value less lifetime fuel and maintenance costs],vehicle_data[Vehicle],A39)))</f>
        <v>21440.084999999992</v>
      </c>
      <c r="I39" s="38">
        <f>VLOOKUP(A39,upfront[],11,FALSE)</f>
        <v>138669</v>
      </c>
    </row>
    <row r="40" spans="1:9" x14ac:dyDescent="0.45">
      <c r="A40" t="s">
        <v>120</v>
      </c>
      <c r="B40" s="20" t="str">
        <f>VLOOKUP(A40,fleetio[],8,FALSE)</f>
        <v>2014 Ford F-150 XL</v>
      </c>
      <c r="C40" s="26">
        <f>VLOOKUP(A40,upfront[],8,FALSE)</f>
        <v>6</v>
      </c>
      <c r="D40" s="11">
        <f>SUMIF(vehicle_data[Vehicle],$A40,vehicle_data[Annual fuel costs])</f>
        <v>24429.683333333334</v>
      </c>
      <c r="E40" s="11">
        <f>SUMIF(vehicle_data[Vehicle],$A40,vehicle_data[Annual maintenance costs])</f>
        <v>7442.57</v>
      </c>
      <c r="F40" s="11">
        <f t="shared" si="4"/>
        <v>31872.253333333334</v>
      </c>
      <c r="G40" s="30">
        <f>VLOOKUP(A40,upfront[],7,FALSE)</f>
        <v>4</v>
      </c>
      <c r="H40" s="23">
        <f>IF(G40="Useful","N/A", (-1*_xlfn.MINIFS(vehicle_data[Asset value less lifetime fuel and maintenance costs],vehicle_data[Vehicle],A40)))</f>
        <v>20572.253333333341</v>
      </c>
      <c r="I40" s="38">
        <f>VLOOKUP(A40,upfront[],11,FALSE)</f>
        <v>132492</v>
      </c>
    </row>
    <row r="41" spans="1:9" ht="28.5" x14ac:dyDescent="0.45">
      <c r="A41" t="s">
        <v>121</v>
      </c>
      <c r="B41" s="20" t="str">
        <f>VLOOKUP(A41,fleetio[],8,FALSE)</f>
        <v>2011 GMC Sierra 2500HD Work Truck</v>
      </c>
      <c r="C41" s="26">
        <f>VLOOKUP(A41,upfront[],8,FALSE)</f>
        <v>8</v>
      </c>
      <c r="D41" s="11">
        <f>SUMIF(vehicle_data[Vehicle],$A41,vehicle_data[Annual fuel costs])</f>
        <v>41848.925000000003</v>
      </c>
      <c r="E41" s="11">
        <f>SUMIF(vehicle_data[Vehicle],$A41,vehicle_data[Annual maintenance costs])</f>
        <v>7118.3499999999995</v>
      </c>
      <c r="F41" s="11">
        <f t="shared" si="4"/>
        <v>48967.275000000001</v>
      </c>
      <c r="G41" s="30">
        <f>VLOOKUP(A41,upfront[],7,FALSE)</f>
        <v>4</v>
      </c>
      <c r="H41" s="23">
        <f>IF(G41="Useful","N/A", (-1*_xlfn.MINIFS(vehicle_data[Asset value less lifetime fuel and maintenance costs],vehicle_data[Vehicle],A41)))</f>
        <v>37677.275000000001</v>
      </c>
      <c r="I41" s="38">
        <f>VLOOKUP(A41,upfront[],11,FALSE)</f>
        <v>143958</v>
      </c>
    </row>
    <row r="42" spans="1:9" ht="36.75" customHeight="1" x14ac:dyDescent="0.45">
      <c r="A42" t="s">
        <v>122</v>
      </c>
      <c r="B42" s="20" t="str">
        <f>VLOOKUP(A42,fleetio[],8,FALSE)</f>
        <v>2019 Ford Transit Cargo 250</v>
      </c>
      <c r="C42" s="26">
        <f>VLOOKUP(A42,upfront[],8,FALSE)</f>
        <v>2</v>
      </c>
      <c r="D42" s="11">
        <f>SUMIF(vehicle_data[Vehicle],$A42,vehicle_data[Annual fuel costs])</f>
        <v>6500.1333333333341</v>
      </c>
      <c r="E42" s="11">
        <f>SUMIF(vehicle_data[Vehicle],$A42,vehicle_data[Annual maintenance costs])</f>
        <v>539.36</v>
      </c>
      <c r="F42" s="11">
        <f t="shared" ref="F42" si="5">SUM(D42,E42)</f>
        <v>7039.4933333333338</v>
      </c>
      <c r="G42" s="30" t="str">
        <f>VLOOKUP(A42,upfront[],7,FALSE)</f>
        <v>Useful</v>
      </c>
      <c r="H42" s="23" t="str">
        <f>IF(G42="Useful","N/A", (-1*_xlfn.MINIFS(vehicle_data[Asset value less lifetime fuel and maintenance costs],vehicle_data[Vehicle],A42)))</f>
        <v>N/A</v>
      </c>
      <c r="I42" s="38" t="str">
        <f>VLOOKUP(A42,upfront[],11,FALSE)</f>
        <v>N/A</v>
      </c>
    </row>
    <row r="43" spans="1:9" ht="28.5" x14ac:dyDescent="0.45">
      <c r="A43" t="s">
        <v>123</v>
      </c>
      <c r="B43" s="20" t="str">
        <f>VLOOKUP(A43,fleetio[],8,FALSE)</f>
        <v>2019 Ford Transit Cargo 250</v>
      </c>
      <c r="C43" s="26">
        <f>VLOOKUP(A43,upfront[],8,FALSE)</f>
        <v>2</v>
      </c>
      <c r="D43" s="11">
        <f>SUMIF(vehicle_data[Vehicle],$A43,vehicle_data[Annual fuel costs])</f>
        <v>10953.466666666667</v>
      </c>
      <c r="E43" s="11">
        <f>SUMIF(vehicle_data[Vehicle],$A43,vehicle_data[Annual maintenance costs])</f>
        <v>580</v>
      </c>
      <c r="F43" s="11">
        <f t="shared" si="4"/>
        <v>11533.466666666667</v>
      </c>
      <c r="G43" s="30" t="str">
        <f>VLOOKUP(A43,upfront[],7,FALSE)</f>
        <v>Useful</v>
      </c>
      <c r="H43" s="23" t="str">
        <f>IF(G43="Useful","N/A", (-1*_xlfn.MINIFS(vehicle_data[Asset value less lifetime fuel and maintenance costs],vehicle_data[Vehicle],A43)))</f>
        <v>N/A</v>
      </c>
      <c r="I43" s="38" t="str">
        <f>VLOOKUP(A43,upfront[],11,FALSE)</f>
        <v>N/A</v>
      </c>
    </row>
    <row r="44" spans="1:9" ht="28.5" x14ac:dyDescent="0.45">
      <c r="A44" t="s">
        <v>124</v>
      </c>
      <c r="B44" s="20" t="str">
        <f>VLOOKUP(A44,fleetio[],8,FALSE)</f>
        <v>2020 Ford Transit Cargo 250</v>
      </c>
      <c r="C44" s="26">
        <f>VLOOKUP(A44,upfront[],8,FALSE)</f>
        <v>1</v>
      </c>
      <c r="D44" s="11">
        <f>SUMIF(vehicle_data[Vehicle],$A44,vehicle_data[Annual fuel costs])</f>
        <v>187.8</v>
      </c>
      <c r="E44" s="11">
        <f>SUMIF(vehicle_data[Vehicle],$A44,vehicle_data[Annual maintenance costs])</f>
        <v>0</v>
      </c>
      <c r="F44" s="11">
        <f t="shared" si="4"/>
        <v>187.8</v>
      </c>
      <c r="G44" s="30" t="str">
        <f>VLOOKUP(A44,upfront[],7,FALSE)</f>
        <v>Useful</v>
      </c>
      <c r="H44" s="23" t="str">
        <f>IF(G44="Useful","N/A", (-1*_xlfn.MINIFS(vehicle_data[Asset value less lifetime fuel and maintenance costs],vehicle_data[Vehicle],A44)))</f>
        <v>N/A</v>
      </c>
      <c r="I44" s="38" t="str">
        <f>VLOOKUP(A44,upfront[],11,FALSE)</f>
        <v>N/A</v>
      </c>
    </row>
    <row r="45" spans="1:9" x14ac:dyDescent="0.45">
      <c r="A45" s="24" t="s">
        <v>85</v>
      </c>
      <c r="D45" s="32">
        <f>SUM(D34:D44)</f>
        <v>162144.11333333334</v>
      </c>
      <c r="E45" s="32">
        <f>SUM(E34:E44)</f>
        <v>44336.51</v>
      </c>
      <c r="F45" s="32">
        <f>SUM(F34:F44)</f>
        <v>206480.62333333332</v>
      </c>
      <c r="H45" s="32">
        <f>SUM(H34:H44)</f>
        <v>115508.82111111109</v>
      </c>
    </row>
    <row r="47" spans="1:9" ht="42.75" x14ac:dyDescent="0.45">
      <c r="A47" t="s">
        <v>88</v>
      </c>
      <c r="B47" t="s">
        <v>83</v>
      </c>
      <c r="C47" s="21" t="s">
        <v>89</v>
      </c>
      <c r="D47">
        <f>COUNTIF(upfront[location (George)],B47)</f>
        <v>20</v>
      </c>
    </row>
    <row r="48" spans="1:9" ht="57" x14ac:dyDescent="0.45">
      <c r="C48" s="21" t="s">
        <v>90</v>
      </c>
      <c r="D48">
        <f>COUNTIFS(upfront[Useful life (George)],"&gt;0",upfront[location (George)],B47)</f>
        <v>13</v>
      </c>
    </row>
    <row r="50" spans="1:9" ht="57" x14ac:dyDescent="0.45">
      <c r="A50" s="8" t="s">
        <v>91</v>
      </c>
      <c r="B50" s="27" t="s">
        <v>92</v>
      </c>
      <c r="C50" s="28" t="s">
        <v>93</v>
      </c>
      <c r="D50" s="7" t="s">
        <v>94</v>
      </c>
      <c r="E50" s="27" t="s">
        <v>95</v>
      </c>
      <c r="F50" s="27" t="s">
        <v>75</v>
      </c>
      <c r="G50" s="29" t="s">
        <v>96</v>
      </c>
      <c r="H50" s="29" t="s">
        <v>97</v>
      </c>
      <c r="I50" s="39" t="s">
        <v>98</v>
      </c>
    </row>
    <row r="51" spans="1:9" x14ac:dyDescent="0.45">
      <c r="A51" t="s">
        <v>125</v>
      </c>
      <c r="B51" s="20" t="str">
        <f>VLOOKUP(A51,fleetio[],8,FALSE)</f>
        <v>2013 Ford F-150 XL</v>
      </c>
      <c r="C51" s="26">
        <f>VLOOKUP(A51,upfront[],8,FALSE)</f>
        <v>8</v>
      </c>
      <c r="D51" s="11">
        <f>SUMIF(vehicle_data[Vehicle],$A51,vehicle_data[Annual fuel costs])</f>
        <v>24363.775555555556</v>
      </c>
      <c r="E51" s="11">
        <f>SUMIF(vehicle_data[Vehicle],$A51,vehicle_data[Annual maintenance costs])</f>
        <v>14618.75</v>
      </c>
      <c r="F51" s="11">
        <f>SUM(D51,E51)</f>
        <v>38982.525555555556</v>
      </c>
      <c r="G51" s="30">
        <f>VLOOKUP(A51,upfront[],7,FALSE)</f>
        <v>4</v>
      </c>
      <c r="H51" s="23">
        <f>IF(G51="Useful","N/A", (-1*_xlfn.MINIFS(vehicle_data[Asset value less lifetime fuel and maintenance costs],vehicle_data[Vehicle],A51)))</f>
        <v>29022.525555555549</v>
      </c>
      <c r="I51" s="38">
        <f>VLOOKUP(A51,upfront[],11,FALSE)</f>
        <v>108742</v>
      </c>
    </row>
    <row r="52" spans="1:9" x14ac:dyDescent="0.45">
      <c r="A52" t="s">
        <v>126</v>
      </c>
      <c r="B52" s="20" t="str">
        <f>VLOOKUP(A52,fleetio[],8,FALSE)</f>
        <v>2011 Ford F-150 XL</v>
      </c>
      <c r="C52" s="26">
        <f>VLOOKUP(A52,upfront[],8,FALSE)</f>
        <v>9</v>
      </c>
      <c r="D52" s="11">
        <f>SUMIF(vehicle_data[Vehicle],$A52,vehicle_data[Annual fuel costs])</f>
        <v>27790.081666666665</v>
      </c>
      <c r="E52" s="11">
        <f>SUMIF(vehicle_data[Vehicle],$A52,vehicle_data[Annual maintenance costs])</f>
        <v>15223.240000000002</v>
      </c>
      <c r="F52" s="11">
        <f t="shared" ref="F52:F58" si="6">SUM(D52,E52)</f>
        <v>43013.32166666667</v>
      </c>
      <c r="G52" s="30">
        <f>VLOOKUP(A52,upfront[],7,FALSE)</f>
        <v>4</v>
      </c>
      <c r="H52" s="23">
        <f>IF(G52="Useful","N/A", (-1*_xlfn.MINIFS(vehicle_data[Asset value less lifetime fuel and maintenance costs],vehicle_data[Vehicle],A52)))</f>
        <v>33683.32166666667</v>
      </c>
      <c r="I52" s="38">
        <f>VLOOKUP(A52,upfront[],11,FALSE)</f>
        <v>100000</v>
      </c>
    </row>
    <row r="53" spans="1:9" x14ac:dyDescent="0.45">
      <c r="A53" t="s">
        <v>127</v>
      </c>
      <c r="B53" s="20" t="str">
        <f>VLOOKUP(A53,fleetio[],8,FALSE)</f>
        <v>2013 Ford F-150 XL</v>
      </c>
      <c r="C53" s="26">
        <f>VLOOKUP(A53,upfront[],8,FALSE)</f>
        <v>7</v>
      </c>
      <c r="D53" s="11">
        <f>SUMIF(vehicle_data[Vehicle],$A53,vehicle_data[Annual fuel costs])</f>
        <v>22551.677222222224</v>
      </c>
      <c r="E53" s="11">
        <f>SUMIF(vehicle_data[Vehicle],$A53,vehicle_data[Annual maintenance costs])</f>
        <v>11781.630000000001</v>
      </c>
      <c r="F53" s="11">
        <f t="shared" si="6"/>
        <v>34333.307222222225</v>
      </c>
      <c r="G53" s="30">
        <f>VLOOKUP(A53,upfront[],7,FALSE)</f>
        <v>5</v>
      </c>
      <c r="H53" s="23">
        <f>IF(G53="Useful","N/A", (-1*_xlfn.MINIFS(vehicle_data[Asset value less lifetime fuel and maintenance costs],vehicle_data[Vehicle],A53)))</f>
        <v>23133.307222222218</v>
      </c>
      <c r="I53" s="38">
        <f>VLOOKUP(A53,upfront[],11,FALSE)</f>
        <v>128559</v>
      </c>
    </row>
    <row r="54" spans="1:9" ht="28.5" x14ac:dyDescent="0.45">
      <c r="A54" t="s">
        <v>128</v>
      </c>
      <c r="B54" s="20" t="str">
        <f>VLOOKUP(A54,fleetio[],8,FALSE)</f>
        <v>2011 GMC Sierra 2500HD Work Truck</v>
      </c>
      <c r="C54" s="26">
        <f>VLOOKUP(A54,upfront[],8,FALSE)</f>
        <v>9</v>
      </c>
      <c r="D54" s="11">
        <f>SUMIF(vehicle_data[Vehicle],$A54,vehicle_data[Annual fuel costs])</f>
        <v>43542.687142857147</v>
      </c>
      <c r="E54" s="11">
        <f>SUMIF(vehicle_data[Vehicle],$A54,vehicle_data[Annual maintenance costs])</f>
        <v>13970.140000000001</v>
      </c>
      <c r="F54" s="11">
        <f t="shared" si="6"/>
        <v>57512.827142857146</v>
      </c>
      <c r="G54" s="30">
        <f>VLOOKUP(A54,upfront[],7,FALSE)</f>
        <v>4</v>
      </c>
      <c r="H54" s="23">
        <f>IF(G54="Useful","N/A", (-1*_xlfn.MINIFS(vehicle_data[Asset value less lifetime fuel and maintenance costs],vehicle_data[Vehicle],A54)))</f>
        <v>46532.827142857146</v>
      </c>
      <c r="I54" s="38">
        <f>VLOOKUP(A54,upfront[],11,FALSE)</f>
        <v>103042</v>
      </c>
    </row>
    <row r="55" spans="1:9" x14ac:dyDescent="0.45">
      <c r="A55" t="s">
        <v>129</v>
      </c>
      <c r="B55" s="20" t="str">
        <f>VLOOKUP(A55,fleetio[],8,FALSE)</f>
        <v>2011 Ford F-150 XL</v>
      </c>
      <c r="C55" s="26">
        <f>VLOOKUP(A55,upfront[],8,FALSE)</f>
        <v>9</v>
      </c>
      <c r="D55" s="11">
        <f>SUMIF(vehicle_data[Vehicle],$A55,vehicle_data[Annual fuel costs])</f>
        <v>49501.400769230771</v>
      </c>
      <c r="E55" s="11">
        <f>SUMIF(vehicle_data[Vehicle],$A55,vehicle_data[Annual maintenance costs])</f>
        <v>28216.74</v>
      </c>
      <c r="F55" s="11">
        <f t="shared" si="6"/>
        <v>77718.140769230769</v>
      </c>
      <c r="G55" s="30">
        <f>VLOOKUP(A55,upfront[],7,FALSE)</f>
        <v>4</v>
      </c>
      <c r="H55" s="23">
        <f>IF(G55="Useful","N/A", (-1*_xlfn.MINIFS(vehicle_data[Asset value less lifetime fuel and maintenance costs],vehicle_data[Vehicle],A55)))</f>
        <v>67718.140769230769</v>
      </c>
      <c r="I55" s="38">
        <f>VLOOKUP(A55,upfront[],11,FALSE)</f>
        <v>105000</v>
      </c>
    </row>
    <row r="56" spans="1:9" ht="42.75" x14ac:dyDescent="0.45">
      <c r="A56" t="s">
        <v>130</v>
      </c>
      <c r="B56" s="20" t="str">
        <f>VLOOKUP(A56,fleetio[],8,FALSE)</f>
        <v>2011 Chevrolet Silverado 1500 Work Truck</v>
      </c>
      <c r="C56" s="26">
        <f>VLOOKUP(A56,upfront[],8,FALSE)</f>
        <v>9</v>
      </c>
      <c r="D56" s="11">
        <f>SUMIF(vehicle_data[Vehicle],$A56,vehicle_data[Annual fuel costs])</f>
        <v>52952.326923076922</v>
      </c>
      <c r="E56" s="11">
        <f>SUMIF(vehicle_data[Vehicle],$A56,vehicle_data[Annual maintenance costs])</f>
        <v>17254.64</v>
      </c>
      <c r="F56" s="11">
        <f t="shared" si="6"/>
        <v>70206.966923076921</v>
      </c>
      <c r="G56" s="30">
        <f>VLOOKUP(A56,upfront[],7,FALSE)</f>
        <v>4</v>
      </c>
      <c r="H56" s="23">
        <f>IF(G56="Useful","N/A", (-1*_xlfn.MINIFS(vehicle_data[Asset value less lifetime fuel and maintenance costs],vehicle_data[Vehicle],A56)))</f>
        <v>60206.966923076921</v>
      </c>
      <c r="I56" s="38">
        <f>VLOOKUP(A56,upfront[],11,FALSE)</f>
        <v>124459</v>
      </c>
    </row>
    <row r="57" spans="1:9" ht="28.5" x14ac:dyDescent="0.45">
      <c r="A57" t="s">
        <v>131</v>
      </c>
      <c r="B57" s="20" t="str">
        <f>VLOOKUP(A57,fleetio[],8,FALSE)</f>
        <v>2011 GMC Sierra 2500HD Work Truck</v>
      </c>
      <c r="C57" s="26">
        <f>VLOOKUP(A57,upfront[],8,FALSE)</f>
        <v>10</v>
      </c>
      <c r="D57" s="11">
        <f>SUMIF(vehicle_data[Vehicle],$A57,vehicle_data[Annual fuel costs])</f>
        <v>47832.426428571438</v>
      </c>
      <c r="E57" s="11">
        <f>SUMIF(vehicle_data[Vehicle],$A57,vehicle_data[Annual maintenance costs])</f>
        <v>20684.79</v>
      </c>
      <c r="F57" s="11">
        <f t="shared" si="6"/>
        <v>68517.216428571439</v>
      </c>
      <c r="G57" s="30">
        <f>VLOOKUP(A57,upfront[],7,FALSE)</f>
        <v>4</v>
      </c>
      <c r="H57" s="23">
        <f>IF(G57="Useful","N/A", (-1*_xlfn.MINIFS(vehicle_data[Asset value less lifetime fuel and maintenance costs],vehicle_data[Vehicle],A57)))</f>
        <v>58067.216428571439</v>
      </c>
      <c r="I57" s="38">
        <f>VLOOKUP(A57,upfront[],11,FALSE)</f>
        <v>113482</v>
      </c>
    </row>
    <row r="58" spans="1:9" x14ac:dyDescent="0.45">
      <c r="A58" t="s">
        <v>132</v>
      </c>
      <c r="B58" s="20" t="str">
        <f>VLOOKUP(A58,fleetio[],8,FALSE)</f>
        <v>2012 Ford F-150 XL</v>
      </c>
      <c r="C58" s="26">
        <f>VLOOKUP(A58,upfront[],8,FALSE)</f>
        <v>8</v>
      </c>
      <c r="D58" s="11">
        <f>SUMIF(vehicle_data[Vehicle],$A58,vehicle_data[Annual fuel costs])</f>
        <v>30871.773888888889</v>
      </c>
      <c r="E58" s="11">
        <f>SUMIF(vehicle_data[Vehicle],$A58,vehicle_data[Annual maintenance costs])</f>
        <v>27113.229999999996</v>
      </c>
      <c r="F58" s="11">
        <f t="shared" si="6"/>
        <v>57985.003888888881</v>
      </c>
      <c r="G58" s="30">
        <f>VLOOKUP(A58,upfront[],7,FALSE)</f>
        <v>4</v>
      </c>
      <c r="H58" s="23">
        <f>IF(G58="Useful","N/A", (-1*_xlfn.MINIFS(vehicle_data[Asset value less lifetime fuel and maintenance costs],vehicle_data[Vehicle],A58)))</f>
        <v>49415.003888888881</v>
      </c>
      <c r="I58" s="38">
        <f>VLOOKUP(A58,upfront[],11,FALSE)</f>
        <v>142500</v>
      </c>
    </row>
    <row r="59" spans="1:9" x14ac:dyDescent="0.45">
      <c r="A59" t="s">
        <v>133</v>
      </c>
      <c r="B59" s="20" t="str">
        <f>VLOOKUP(A59,fleetio[],8,FALSE)</f>
        <v>2013 Ford F-150 XL</v>
      </c>
      <c r="C59" s="26">
        <f>VLOOKUP(A59,upfront[],8,FALSE)</f>
        <v>8</v>
      </c>
      <c r="D59" s="11">
        <f>SUMIF(vehicle_data[Vehicle],$A59,vehicle_data[Annual fuel costs])</f>
        <v>26856.34888888889</v>
      </c>
      <c r="E59" s="11">
        <f>SUMIF(vehicle_data[Vehicle],$A59,vehicle_data[Annual maintenance costs])</f>
        <v>18893.41</v>
      </c>
      <c r="F59" s="11">
        <f t="shared" ref="F59:F65" si="7">SUM(D59,E59)</f>
        <v>45749.758888888886</v>
      </c>
      <c r="G59" s="30">
        <f>VLOOKUP(A59,upfront[],7,FALSE)</f>
        <v>4</v>
      </c>
      <c r="H59" s="23">
        <f>IF(G59="Useful","N/A", (-1*_xlfn.MINIFS(vehicle_data[Asset value less lifetime fuel and maintenance costs],vehicle_data[Vehicle],A59)))</f>
        <v>36219.758888888886</v>
      </c>
      <c r="I59" s="38">
        <f>VLOOKUP(A59,upfront[],11,FALSE)</f>
        <v>116239</v>
      </c>
    </row>
    <row r="60" spans="1:9" x14ac:dyDescent="0.45">
      <c r="A60" t="s">
        <v>134</v>
      </c>
      <c r="B60" s="20" t="str">
        <f>VLOOKUP(A60,fleetio[],8,FALSE)</f>
        <v>2013 Ford F-150 XL</v>
      </c>
      <c r="C60" s="26">
        <f>VLOOKUP(A60,upfront[],8,FALSE)</f>
        <v>8</v>
      </c>
      <c r="D60" s="11">
        <f>SUMIF(vehicle_data[Vehicle],$A60,vehicle_data[Annual fuel costs])</f>
        <v>30754.656111111111</v>
      </c>
      <c r="E60" s="11">
        <f>SUMIF(vehicle_data[Vehicle],$A60,vehicle_data[Annual maintenance costs])</f>
        <v>19812.349999999999</v>
      </c>
      <c r="F60" s="11">
        <f t="shared" si="7"/>
        <v>50567.006111111114</v>
      </c>
      <c r="G60" s="30">
        <f>VLOOKUP(A60,upfront[],7,FALSE)</f>
        <v>4</v>
      </c>
      <c r="H60" s="23">
        <f>IF(G60="Useful","N/A", (-1*_xlfn.MINIFS(vehicle_data[Asset value less lifetime fuel and maintenance costs],vehicle_data[Vehicle],A60)))</f>
        <v>40767.006111111106</v>
      </c>
      <c r="I60" s="38">
        <f>VLOOKUP(A60,upfront[],11,FALSE)</f>
        <v>133438</v>
      </c>
    </row>
    <row r="61" spans="1:9" x14ac:dyDescent="0.45">
      <c r="A61" t="s">
        <v>135</v>
      </c>
      <c r="B61" s="20" t="str">
        <f>VLOOKUP(A61,fleetio[],8,FALSE)</f>
        <v>2014 Ford F-150 XL</v>
      </c>
      <c r="C61" s="26">
        <f>VLOOKUP(A61,upfront[],8,FALSE)</f>
        <v>7</v>
      </c>
      <c r="D61" s="11">
        <f>SUMIF(vehicle_data[Vehicle],$A61,vehicle_data[Annual fuel costs])</f>
        <v>23616.042222222222</v>
      </c>
      <c r="E61" s="11">
        <f>SUMIF(vehicle_data[Vehicle],$A61,vehicle_data[Annual maintenance costs])</f>
        <v>7536.5700000000006</v>
      </c>
      <c r="F61" s="11">
        <f t="shared" si="7"/>
        <v>31152.612222222222</v>
      </c>
      <c r="G61" s="30">
        <f>VLOOKUP(A61,upfront[],7,FALSE)</f>
        <v>5</v>
      </c>
      <c r="H61" s="23">
        <f>IF(G61="Useful","N/A", (-1*_xlfn.MINIFS(vehicle_data[Asset value less lifetime fuel and maintenance costs],vehicle_data[Vehicle],A61)))</f>
        <v>16892.612222222226</v>
      </c>
      <c r="I61" s="38">
        <f>VLOOKUP(A61,upfront[],11,FALSE)</f>
        <v>97808</v>
      </c>
    </row>
    <row r="62" spans="1:9" x14ac:dyDescent="0.45">
      <c r="A62" t="s">
        <v>136</v>
      </c>
      <c r="B62" s="20" t="str">
        <f>VLOOKUP(A62,fleetio[],8,FALSE)</f>
        <v>2014 Ford F-150 XL</v>
      </c>
      <c r="C62" s="26">
        <f>VLOOKUP(A62,upfront[],8,FALSE)</f>
        <v>6</v>
      </c>
      <c r="D62" s="11">
        <f>SUMIF(vehicle_data[Vehicle],$A62,vehicle_data[Annual fuel costs])</f>
        <v>22529.885555555556</v>
      </c>
      <c r="E62" s="11">
        <f>SUMIF(vehicle_data[Vehicle],$A62,vehicle_data[Annual maintenance costs])</f>
        <v>5820.78</v>
      </c>
      <c r="F62" s="11">
        <f t="shared" si="7"/>
        <v>28350.665555555555</v>
      </c>
      <c r="G62" s="30">
        <f>VLOOKUP(A62,upfront[],7,FALSE)</f>
        <v>4</v>
      </c>
      <c r="H62" s="23">
        <f>IF(G62="Useful","N/A", (-1*_xlfn.MINIFS(vehicle_data[Asset value less lifetime fuel and maintenance costs],vehicle_data[Vehicle],A62)))</f>
        <v>16570.665555555563</v>
      </c>
      <c r="I62" s="38">
        <f>VLOOKUP(A62,upfront[],11,FALSE)</f>
        <v>130271</v>
      </c>
    </row>
    <row r="63" spans="1:9" x14ac:dyDescent="0.45">
      <c r="A63" t="s">
        <v>137</v>
      </c>
      <c r="B63" s="20" t="str">
        <f>VLOOKUP(A63,fleetio[],8,FALSE)</f>
        <v>2014 Ford F-150 XL</v>
      </c>
      <c r="C63" s="26">
        <f>VLOOKUP(A63,upfront[],8,FALSE)</f>
        <v>6</v>
      </c>
      <c r="D63" s="11">
        <f>SUMIF(vehicle_data[Vehicle],$A63,vehicle_data[Annual fuel costs])</f>
        <v>26516.907777777782</v>
      </c>
      <c r="E63" s="11">
        <f>SUMIF(vehicle_data[Vehicle],$A63,vehicle_data[Annual maintenance costs])</f>
        <v>9758.76</v>
      </c>
      <c r="F63" s="11">
        <f t="shared" si="7"/>
        <v>36275.66777777778</v>
      </c>
      <c r="G63" s="30">
        <f>VLOOKUP(A63,upfront[],7,FALSE)</f>
        <v>4</v>
      </c>
      <c r="H63" s="23">
        <f>IF(G63="Useful","N/A", (-1*_xlfn.MINIFS(vehicle_data[Asset value less lifetime fuel and maintenance costs],vehicle_data[Vehicle],A63)))</f>
        <v>24915.667777777788</v>
      </c>
      <c r="I63" s="38">
        <f>VLOOKUP(A63,upfront[],11,FALSE)</f>
        <v>154863</v>
      </c>
    </row>
    <row r="64" spans="1:9" ht="28.5" x14ac:dyDescent="0.45">
      <c r="A64" t="s">
        <v>138</v>
      </c>
      <c r="B64" s="20" t="str">
        <f>VLOOKUP(A64,fleetio[],8,FALSE)</f>
        <v>2018 Ford Transit Cargo 250</v>
      </c>
      <c r="C64" s="26">
        <f>VLOOKUP(A64,upfront[],8,FALSE)</f>
        <v>2</v>
      </c>
      <c r="D64" s="11">
        <f>SUMIF(vehicle_data[Vehicle],$A64,vehicle_data[Annual fuel costs])</f>
        <v>11736.75</v>
      </c>
      <c r="E64" s="11">
        <f>SUMIF(vehicle_data[Vehicle],$A64,vehicle_data[Annual maintenance costs])</f>
        <v>2700.1099999999997</v>
      </c>
      <c r="F64" s="11">
        <f t="shared" si="7"/>
        <v>14436.86</v>
      </c>
      <c r="G64" s="30" t="str">
        <f>VLOOKUP(A64,upfront[],7,FALSE)</f>
        <v>Useful</v>
      </c>
      <c r="H64" s="23" t="str">
        <f>IF(G64="Useful","N/A", (-1*_xlfn.MINIFS(vehicle_data[Asset value less lifetime fuel and maintenance costs],vehicle_data[Vehicle],A64)))</f>
        <v>N/A</v>
      </c>
      <c r="I64" s="38" t="str">
        <f>VLOOKUP(A64,upfront[],11,FALSE)</f>
        <v>N/A</v>
      </c>
    </row>
    <row r="65" spans="1:9" ht="28.5" x14ac:dyDescent="0.45">
      <c r="A65" t="s">
        <v>139</v>
      </c>
      <c r="B65" s="20" t="str">
        <f>VLOOKUP(A65,fleetio[],8,FALSE)</f>
        <v>2019 Ford Transit Cargo 250</v>
      </c>
      <c r="C65" s="26">
        <f>VLOOKUP(A65,upfront[],8,FALSE)</f>
        <v>1</v>
      </c>
      <c r="D65" s="11">
        <f>SUMIF(vehicle_data[Vehicle],$A65,vehicle_data[Annual fuel costs])</f>
        <v>5078.3999999999996</v>
      </c>
      <c r="E65" s="11">
        <f>SUMIF(vehicle_data[Vehicle],$A65,vehicle_data[Annual maintenance costs])</f>
        <v>232.38</v>
      </c>
      <c r="F65" s="11">
        <f t="shared" si="7"/>
        <v>5310.78</v>
      </c>
      <c r="G65" s="30" t="str">
        <f>VLOOKUP(A65,upfront[],7,FALSE)</f>
        <v>Useful</v>
      </c>
      <c r="H65" s="23" t="str">
        <f>IF(G65="Useful","N/A", (-1*_xlfn.MINIFS(vehicle_data[Asset value less lifetime fuel and maintenance costs],vehicle_data[Vehicle],A65)))</f>
        <v>N/A</v>
      </c>
      <c r="I65" s="38" t="str">
        <f>VLOOKUP(A65,upfront[],11,FALSE)</f>
        <v>N/A</v>
      </c>
    </row>
    <row r="66" spans="1:9" ht="28.5" x14ac:dyDescent="0.45">
      <c r="A66" t="s">
        <v>140</v>
      </c>
      <c r="B66" s="20" t="str">
        <f>VLOOKUP(A66,fleetio[],8,FALSE)</f>
        <v>2019 Ford Transit Cargo 250</v>
      </c>
      <c r="C66" s="26">
        <f>VLOOKUP(A66,upfront[],8,FALSE)</f>
        <v>2</v>
      </c>
      <c r="D66" s="11">
        <f>SUMIF(vehicle_data[Vehicle],$A66,vehicle_data[Annual fuel costs])</f>
        <v>4874.6666666666661</v>
      </c>
      <c r="E66" s="11">
        <f>SUMIF(vehicle_data[Vehicle],$A66,vehicle_data[Annual maintenance costs])</f>
        <v>79.989999999999995</v>
      </c>
      <c r="F66" s="11">
        <f>SUM(D66,E66)</f>
        <v>4954.6566666666658</v>
      </c>
      <c r="G66" s="30" t="str">
        <f>VLOOKUP(A66,upfront[],7,FALSE)</f>
        <v>Useful</v>
      </c>
      <c r="H66" s="23" t="str">
        <f>IF(G66="Useful","N/A", (-1*_xlfn.MINIFS(vehicle_data[Asset value less lifetime fuel and maintenance costs],vehicle_data[Vehicle],A66)))</f>
        <v>N/A</v>
      </c>
      <c r="I66" s="38" t="str">
        <f>VLOOKUP(A66,upfront[],11,FALSE)</f>
        <v>N/A</v>
      </c>
    </row>
    <row r="67" spans="1:9" ht="28.5" x14ac:dyDescent="0.45">
      <c r="A67" t="s">
        <v>141</v>
      </c>
      <c r="B67" s="20" t="str">
        <f>VLOOKUP(A67,fleetio[],8,FALSE)</f>
        <v>2019 Ford Transit Cargo 250</v>
      </c>
      <c r="C67" s="26">
        <f>VLOOKUP(A67,upfront[],8,FALSE)</f>
        <v>2</v>
      </c>
      <c r="D67" s="11">
        <f>SUMIF(vehicle_data[Vehicle],$A67,vehicle_data[Annual fuel costs])</f>
        <v>5152.8666666666668</v>
      </c>
      <c r="E67" s="11">
        <f>SUMIF(vehicle_data[Vehicle],$A67,vehicle_data[Annual maintenance costs])</f>
        <v>240</v>
      </c>
      <c r="F67" s="11">
        <f>SUM(D67,E67)</f>
        <v>5392.8666666666668</v>
      </c>
      <c r="G67" s="30" t="str">
        <f>VLOOKUP(A67,upfront[],7,FALSE)</f>
        <v>Useful</v>
      </c>
      <c r="H67" s="23" t="str">
        <f>IF(G67="Useful","N/A", (-1*_xlfn.MINIFS(vehicle_data[Asset value less lifetime fuel and maintenance costs],vehicle_data[Vehicle],A67)))</f>
        <v>N/A</v>
      </c>
      <c r="I67" s="38" t="str">
        <f>VLOOKUP(A67,upfront[],11,FALSE)</f>
        <v>N/A</v>
      </c>
    </row>
    <row r="68" spans="1:9" ht="28.5" x14ac:dyDescent="0.45">
      <c r="A68" t="s">
        <v>142</v>
      </c>
      <c r="B68" s="20" t="str">
        <f>VLOOKUP(A68,fleetio[],8,FALSE)</f>
        <v>2019 Ford Transit Cargo 250</v>
      </c>
      <c r="C68" s="26">
        <f>VLOOKUP(A68,upfront[],8,FALSE)</f>
        <v>1</v>
      </c>
      <c r="D68" s="11">
        <f>SUMIF(vehicle_data[Vehicle],$A68,vehicle_data[Annual fuel costs])</f>
        <v>3048.833333333333</v>
      </c>
      <c r="E68" s="11">
        <f>SUMIF(vehicle_data[Vehicle],$A68,vehicle_data[Annual maintenance costs])</f>
        <v>320</v>
      </c>
      <c r="F68" s="11">
        <f>SUM(D68,E68)</f>
        <v>3368.833333333333</v>
      </c>
      <c r="G68" s="30" t="str">
        <f>VLOOKUP(A68,upfront[],7,FALSE)</f>
        <v>Useful</v>
      </c>
      <c r="H68" s="23" t="str">
        <f>IF(G68="Useful","N/A", (-1*_xlfn.MINIFS(vehicle_data[Asset value less lifetime fuel and maintenance costs],vehicle_data[Vehicle],A68)))</f>
        <v>N/A</v>
      </c>
      <c r="I68" s="38" t="str">
        <f>VLOOKUP(A68,upfront[],11,FALSE)</f>
        <v>N/A</v>
      </c>
    </row>
    <row r="69" spans="1:9" ht="28.5" x14ac:dyDescent="0.45">
      <c r="A69" t="s">
        <v>143</v>
      </c>
      <c r="B69" s="20" t="str">
        <f>VLOOKUP(A69,fleetio[],8,FALSE)</f>
        <v>2020 Ford Transit Cargo 250</v>
      </c>
      <c r="C69" s="26">
        <f>VLOOKUP(A69,upfront[],8,FALSE)</f>
        <v>1</v>
      </c>
      <c r="D69" s="11">
        <f>SUMIF(vehicle_data[Vehicle],$A69,vehicle_data[Annual fuel costs])</f>
        <v>1224.5999999999999</v>
      </c>
      <c r="E69" s="11">
        <f>SUMIF(vehicle_data[Vehicle],$A69,vehicle_data[Annual maintenance costs])</f>
        <v>368.5</v>
      </c>
      <c r="F69" s="11">
        <f>SUM(D69,E69)</f>
        <v>1593.1</v>
      </c>
      <c r="G69" s="30" t="str">
        <f>VLOOKUP(A69,upfront[],7,FALSE)</f>
        <v>Useful</v>
      </c>
      <c r="H69" s="23" t="str">
        <f>IF(G69="Useful","N/A", (-1*_xlfn.MINIFS(vehicle_data[Asset value less lifetime fuel and maintenance costs],vehicle_data[Vehicle],A69)))</f>
        <v>N/A</v>
      </c>
      <c r="I69" s="38" t="str">
        <f>VLOOKUP(A69,upfront[],11,FALSE)</f>
        <v>N/A</v>
      </c>
    </row>
    <row r="70" spans="1:9" ht="28.5" x14ac:dyDescent="0.45">
      <c r="A70" t="s">
        <v>144</v>
      </c>
      <c r="B70" s="20" t="str">
        <f>VLOOKUP(A70,fleetio[],8,FALSE)</f>
        <v>2020 Ford Transit Cargo 250</v>
      </c>
      <c r="C70" s="26">
        <f>VLOOKUP(A70,upfront[],8,FALSE)</f>
        <v>2</v>
      </c>
      <c r="D70" s="11">
        <f>SUMIF(vehicle_data[Vehicle],$A70,vehicle_data[Annual fuel costs])</f>
        <v>1574.2000000000003</v>
      </c>
      <c r="E70" s="11">
        <f>SUMIF(vehicle_data[Vehicle],$A70,vehicle_data[Annual maintenance costs])</f>
        <v>89.13</v>
      </c>
      <c r="F70" s="11">
        <f>SUM(D70,E70)</f>
        <v>1663.3300000000004</v>
      </c>
      <c r="G70" s="30" t="str">
        <f>VLOOKUP(A70,upfront[],7,FALSE)</f>
        <v>Useful</v>
      </c>
      <c r="H70" s="23" t="str">
        <f>IF(G70="Useful","N/A", (-1*_xlfn.MINIFS(vehicle_data[Asset value less lifetime fuel and maintenance costs],vehicle_data[Vehicle],A70)))</f>
        <v>N/A</v>
      </c>
      <c r="I70" s="38" t="str">
        <f>VLOOKUP(A70,upfront[],11,FALSE)</f>
        <v>N/A</v>
      </c>
    </row>
    <row r="71" spans="1:9" x14ac:dyDescent="0.45">
      <c r="A71" s="24" t="s">
        <v>85</v>
      </c>
      <c r="D71" s="32">
        <f>SUM(D51:D70)</f>
        <v>462370.30681929184</v>
      </c>
      <c r="E71" s="32">
        <f>SUM(E51:E70)</f>
        <v>214715.13999999998</v>
      </c>
      <c r="F71" s="32">
        <f>SUM(F51:F70)</f>
        <v>677085.4468192918</v>
      </c>
      <c r="H71" s="32">
        <f>SUM(H51:H70)</f>
        <v>503145.0201526251</v>
      </c>
    </row>
    <row r="73" spans="1:9" ht="42.75" x14ac:dyDescent="0.45">
      <c r="A73" t="s">
        <v>88</v>
      </c>
      <c r="B73" t="s">
        <v>84</v>
      </c>
      <c r="C73" s="21" t="s">
        <v>89</v>
      </c>
      <c r="D73">
        <f>COUNTIF(upfront[location (George)],B73)</f>
        <v>7</v>
      </c>
    </row>
    <row r="74" spans="1:9" ht="57" x14ac:dyDescent="0.45">
      <c r="C74" s="21" t="s">
        <v>90</v>
      </c>
      <c r="D74">
        <f>COUNTIFS(upfront[Useful life (George)],"&gt;0",upfront[location (George)],B73)</f>
        <v>2</v>
      </c>
    </row>
    <row r="76" spans="1:9" ht="57" x14ac:dyDescent="0.45">
      <c r="A76" s="8" t="s">
        <v>91</v>
      </c>
      <c r="B76" s="27" t="s">
        <v>92</v>
      </c>
      <c r="C76" s="28" t="s">
        <v>93</v>
      </c>
      <c r="D76" s="7" t="s">
        <v>94</v>
      </c>
      <c r="E76" s="27" t="s">
        <v>95</v>
      </c>
      <c r="F76" s="27" t="s">
        <v>75</v>
      </c>
      <c r="G76" s="29" t="s">
        <v>96</v>
      </c>
      <c r="H76" s="29" t="s">
        <v>97</v>
      </c>
      <c r="I76" s="39" t="s">
        <v>98</v>
      </c>
    </row>
    <row r="77" spans="1:9" x14ac:dyDescent="0.45">
      <c r="A77" t="s">
        <v>145</v>
      </c>
      <c r="B77" s="20" t="str">
        <f>VLOOKUP(A77,fleetio[],8,FALSE)</f>
        <v>2014 Ford F-150 XL</v>
      </c>
      <c r="C77" s="26">
        <f>VLOOKUP(A77,upfront[],8,FALSE)</f>
        <v>6</v>
      </c>
      <c r="D77" s="11">
        <f>SUMIF(vehicle_data[Vehicle],$A77,vehicle_data[Annual fuel costs])</f>
        <v>11570.144999999999</v>
      </c>
      <c r="E77" s="11">
        <f>SUMIF(vehicle_data[Vehicle],$A77,vehicle_data[Annual maintenance costs])</f>
        <v>8617.82</v>
      </c>
      <c r="F77" s="11">
        <f>SUM(D77,E77)</f>
        <v>20187.964999999997</v>
      </c>
      <c r="G77" s="30">
        <f>VLOOKUP(A77,upfront[],7,FALSE)</f>
        <v>5</v>
      </c>
      <c r="H77" s="23">
        <f>IF(G77="Useful","N/A", (-1*_xlfn.MINIFS(vehicle_data[Asset value less lifetime fuel and maintenance costs],vehicle_data[Vehicle],A77)))</f>
        <v>2427.9650000000038</v>
      </c>
      <c r="I77" s="38">
        <f>VLOOKUP(A77,upfront[],11,FALSE)</f>
        <v>75525</v>
      </c>
    </row>
    <row r="78" spans="1:9" x14ac:dyDescent="0.45">
      <c r="A78" t="s">
        <v>146</v>
      </c>
      <c r="B78" s="20" t="str">
        <f>VLOOKUP(A78,fleetio[],8,FALSE)</f>
        <v>2019 Ford F-150 XL</v>
      </c>
      <c r="C78" s="26">
        <f>VLOOKUP(A78,upfront[],8,FALSE)</f>
        <v>6</v>
      </c>
      <c r="D78" s="11">
        <f>SUMIF(vehicle_data[Vehicle],$A78,vehicle_data[Annual fuel costs])</f>
        <v>35441.82076923077</v>
      </c>
      <c r="E78" s="11">
        <f>SUMIF(vehicle_data[Vehicle],$A78,vehicle_data[Annual maintenance costs])</f>
        <v>7542.4000000000005</v>
      </c>
      <c r="F78" s="11">
        <f t="shared" ref="F78:F83" si="8">SUM(D78,E78)</f>
        <v>42984.220769230771</v>
      </c>
      <c r="G78" s="30" t="str">
        <f>VLOOKUP(A78,upfront[],7,FALSE)</f>
        <v>Useful</v>
      </c>
      <c r="H78" s="23" t="str">
        <f>IF(G78="Useful","N/A", (-1*_xlfn.MINIFS(vehicle_data[Asset value less lifetime fuel and maintenance costs],vehicle_data[Vehicle],A78)))</f>
        <v>N/A</v>
      </c>
      <c r="I78" s="38" t="str">
        <f>VLOOKUP(A78,upfront[],11,FALSE)</f>
        <v>N/A</v>
      </c>
    </row>
    <row r="79" spans="1:9" x14ac:dyDescent="0.45">
      <c r="A79" t="s">
        <v>147</v>
      </c>
      <c r="B79" s="20" t="str">
        <f>VLOOKUP(A79,fleetio[],8,FALSE)</f>
        <v>2019 Ford F-150 XL</v>
      </c>
      <c r="C79" s="26">
        <f>VLOOKUP(A79,upfront[],8,FALSE)</f>
        <v>2</v>
      </c>
      <c r="D79" s="11">
        <f>SUMIF(vehicle_data[Vehicle],$A79,vehicle_data[Annual fuel costs])</f>
        <v>5886.5384615384619</v>
      </c>
      <c r="E79" s="11">
        <f>SUMIF(vehicle_data[Vehicle],$A79,vehicle_data[Annual maintenance costs])</f>
        <v>420</v>
      </c>
      <c r="F79" s="11">
        <f t="shared" si="8"/>
        <v>6306.5384615384619</v>
      </c>
      <c r="G79" s="30" t="str">
        <f>VLOOKUP(A79,upfront[],7,FALSE)</f>
        <v>Useful</v>
      </c>
      <c r="H79" s="23" t="str">
        <f>IF(G79="Useful","N/A", (-1*_xlfn.MINIFS(vehicle_data[Asset value less lifetime fuel and maintenance costs],vehicle_data[Vehicle],A79)))</f>
        <v>N/A</v>
      </c>
      <c r="I79" s="38" t="str">
        <f>VLOOKUP(A79,upfront[],11,FALSE)</f>
        <v>N/A</v>
      </c>
    </row>
    <row r="80" spans="1:9" ht="28.5" x14ac:dyDescent="0.45">
      <c r="A80" t="s">
        <v>148</v>
      </c>
      <c r="B80" s="20" t="str">
        <f>VLOOKUP(A80,fleetio[],8,FALSE)</f>
        <v>2016 Ford Transit Cargo 350</v>
      </c>
      <c r="C80" s="26">
        <f>VLOOKUP(A80,upfront[],8,FALSE)</f>
        <v>6</v>
      </c>
      <c r="D80" s="11">
        <f>SUMIF(vehicle_data[Vehicle],$A80,vehicle_data[Annual fuel costs])</f>
        <v>14694.501333333334</v>
      </c>
      <c r="E80" s="11">
        <f>SUMIF(vehicle_data[Vehicle],$A80,vehicle_data[Annual maintenance costs])</f>
        <v>3596.5</v>
      </c>
      <c r="F80" s="11">
        <f t="shared" si="8"/>
        <v>18291.001333333334</v>
      </c>
      <c r="G80" s="30" t="str">
        <f>VLOOKUP(A80,upfront[],7,FALSE)</f>
        <v>Useful</v>
      </c>
      <c r="H80" s="23" t="str">
        <f>IF(G80="Useful","N/A", (-1*_xlfn.MINIFS(vehicle_data[Asset value less lifetime fuel and maintenance costs],vehicle_data[Vehicle],A80)))</f>
        <v>N/A</v>
      </c>
      <c r="I80" s="38" t="str">
        <f>VLOOKUP(A80,upfront[],11,FALSE)</f>
        <v>N/A</v>
      </c>
    </row>
    <row r="81" spans="1:9" ht="28.5" x14ac:dyDescent="0.45">
      <c r="A81" t="s">
        <v>149</v>
      </c>
      <c r="B81" s="20" t="str">
        <f>VLOOKUP(A81,fleetio[],8,FALSE)</f>
        <v>2017 Ford Transit Cargo 250</v>
      </c>
      <c r="C81" s="26">
        <f>VLOOKUP(A81,upfront[],8,FALSE)</f>
        <v>3</v>
      </c>
      <c r="D81" s="11">
        <f>SUMIF(vehicle_data[Vehicle],$A81,vehicle_data[Annual fuel costs])</f>
        <v>14441.614666666666</v>
      </c>
      <c r="E81" s="11">
        <f>SUMIF(vehicle_data[Vehicle],$A81,vehicle_data[Annual maintenance costs])</f>
        <v>2601.19</v>
      </c>
      <c r="F81" s="11">
        <f t="shared" si="8"/>
        <v>17042.804666666667</v>
      </c>
      <c r="G81" s="30">
        <f>VLOOKUP(A81,upfront[],7,FALSE)</f>
        <v>3</v>
      </c>
      <c r="H81" s="23">
        <f>IF(G81="Useful","N/A", (-1*_xlfn.MINIFS(vehicle_data[Asset value less lifetime fuel and maintenance costs],vehicle_data[Vehicle],A81)))</f>
        <v>2112.8046666666723</v>
      </c>
      <c r="I81" s="38">
        <f>VLOOKUP(A81,upfront[],11,FALSE)</f>
        <v>91191</v>
      </c>
    </row>
    <row r="82" spans="1:9" ht="28.5" x14ac:dyDescent="0.45">
      <c r="A82" t="s">
        <v>150</v>
      </c>
      <c r="B82" s="20" t="str">
        <f>VLOOKUP(A82,fleetio[],8,FALSE)</f>
        <v>2017 Ford Transit Cargo 250</v>
      </c>
      <c r="C82" s="26">
        <f>VLOOKUP(A82,upfront[],8,FALSE)</f>
        <v>3</v>
      </c>
      <c r="D82" s="11">
        <f>SUMIF(vehicle_data[Vehicle],$A82,vehicle_data[Annual fuel costs])</f>
        <v>10368.209333333332</v>
      </c>
      <c r="E82" s="11">
        <f>SUMIF(vehicle_data[Vehicle],$A82,vehicle_data[Annual maintenance costs])</f>
        <v>2729.31</v>
      </c>
      <c r="F82" s="11">
        <f t="shared" si="8"/>
        <v>13097.519333333332</v>
      </c>
      <c r="G82" s="30" t="str">
        <f>VLOOKUP(A82,upfront[],7,FALSE)</f>
        <v>Useful</v>
      </c>
      <c r="H82" s="23" t="str">
        <f>IF(G82="Useful","N/A", (-1*_xlfn.MINIFS(vehicle_data[Asset value less lifetime fuel and maintenance costs],vehicle_data[Vehicle],A82)))</f>
        <v>N/A</v>
      </c>
      <c r="I82" s="38" t="str">
        <f>VLOOKUP(A82,upfront[],11,FALSE)</f>
        <v>N/A</v>
      </c>
    </row>
    <row r="83" spans="1:9" ht="28.5" x14ac:dyDescent="0.45">
      <c r="A83" t="s">
        <v>151</v>
      </c>
      <c r="B83" s="20" t="str">
        <f>VLOOKUP(A83,fleetio[],8,FALSE)</f>
        <v>2017 Ford Transit Cargo 250</v>
      </c>
      <c r="C83" s="26">
        <f>VLOOKUP(A83,upfront[],8,FALSE)</f>
        <v>5</v>
      </c>
      <c r="D83" s="11">
        <f>SUMIF(vehicle_data[Vehicle],$A83,vehicle_data[Annual fuel costs])</f>
        <v>8398.5733333333337</v>
      </c>
      <c r="E83" s="11">
        <f>SUMIF(vehicle_data[Vehicle],$A83,vehicle_data[Annual maintenance costs])</f>
        <v>1573.74</v>
      </c>
      <c r="F83" s="11">
        <f t="shared" si="8"/>
        <v>9972.3133333333335</v>
      </c>
      <c r="G83" s="30" t="str">
        <f>VLOOKUP(A83,upfront[],7,FALSE)</f>
        <v>Useful</v>
      </c>
      <c r="H83" s="23" t="str">
        <f>IF(G83="Useful","N/A", (-1*_xlfn.MINIFS(vehicle_data[Asset value less lifetime fuel and maintenance costs],vehicle_data[Vehicle],A83)))</f>
        <v>N/A</v>
      </c>
      <c r="I83" s="38" t="str">
        <f>VLOOKUP(A83,upfront[],11,FALSE)</f>
        <v>N/A</v>
      </c>
    </row>
    <row r="84" spans="1:9" x14ac:dyDescent="0.45">
      <c r="A84" s="24" t="s">
        <v>85</v>
      </c>
      <c r="D84" s="32">
        <f>SUM(D77:D83)</f>
        <v>100801.40289743588</v>
      </c>
      <c r="E84" s="32">
        <f>SUM(E77:E83)</f>
        <v>27080.960000000003</v>
      </c>
      <c r="F84" s="32">
        <f>SUM(F77:F83)</f>
        <v>127882.3628974359</v>
      </c>
      <c r="G84" s="30"/>
      <c r="H84" s="32">
        <f>SUM(H77:H83)</f>
        <v>4540.7696666666761</v>
      </c>
    </row>
    <row r="85" spans="1:9" x14ac:dyDescent="0.45">
      <c r="C85" s="26"/>
      <c r="D85" s="11"/>
      <c r="E85" s="11"/>
      <c r="F85" s="11"/>
      <c r="G85" s="30"/>
      <c r="H85" s="30"/>
    </row>
    <row r="86" spans="1:9" x14ac:dyDescent="0.45">
      <c r="C86" s="26"/>
      <c r="D86" s="11"/>
      <c r="E86" s="11"/>
      <c r="F86" s="11"/>
      <c r="G86" s="30"/>
      <c r="H86" s="30"/>
    </row>
    <row r="87" spans="1:9" x14ac:dyDescent="0.45">
      <c r="C87" s="26"/>
      <c r="D87" s="11"/>
      <c r="E87" s="11"/>
      <c r="F87" s="11"/>
      <c r="G87" s="30"/>
      <c r="H87" s="30"/>
    </row>
    <row r="88" spans="1:9" x14ac:dyDescent="0.45">
      <c r="C88" s="26"/>
      <c r="D88" s="11"/>
      <c r="E88" s="11"/>
      <c r="F88" s="11"/>
      <c r="G88" s="30"/>
      <c r="H88" s="30"/>
    </row>
    <row r="89" spans="1:9" x14ac:dyDescent="0.45">
      <c r="C89" s="26"/>
      <c r="D89" s="11"/>
      <c r="E89" s="11"/>
      <c r="F89" s="11"/>
      <c r="G89" s="30"/>
      <c r="H89" s="30"/>
    </row>
    <row r="90" spans="1:9" x14ac:dyDescent="0.45">
      <c r="C90" s="26"/>
      <c r="D90" s="11"/>
      <c r="E90" s="11"/>
      <c r="F90" s="11"/>
      <c r="G90" s="30"/>
      <c r="H90" s="30"/>
    </row>
    <row r="91" spans="1:9" x14ac:dyDescent="0.45">
      <c r="C91" s="26"/>
      <c r="D91" s="11"/>
      <c r="E91" s="11"/>
      <c r="F91" s="11"/>
      <c r="G91" s="30"/>
      <c r="H91" s="30"/>
    </row>
  </sheetData>
  <pageMargins left="0.7" right="0.7" top="0.75" bottom="0.75" header="0.3" footer="0.3"/>
  <pageSetup fitToWidth="0" fitToHeight="0" orientation="landscape" r:id="rId1"/>
  <rowBreaks count="4" manualBreakCount="4">
    <brk id="15" max="7" man="1"/>
    <brk id="30" max="7" man="1"/>
    <brk id="45" max="7" man="1"/>
    <brk id="71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AB2A-C1CF-494F-B538-F5400CC69A61}">
  <sheetPr>
    <tabColor rgb="FF92D050"/>
    <pageSetUpPr fitToPage="1"/>
  </sheetPr>
  <dimension ref="A1:Z44"/>
  <sheetViews>
    <sheetView tabSelected="1" zoomScale="85" zoomScaleNormal="85" workbookViewId="0">
      <selection activeCell="Q4" sqref="Q4"/>
    </sheetView>
  </sheetViews>
  <sheetFormatPr defaultRowHeight="14.25" outlineLevelRow="1" outlineLevelCol="1" x14ac:dyDescent="0.45"/>
  <cols>
    <col min="1" max="1" width="14.3984375" bestFit="1" customWidth="1"/>
    <col min="2" max="2" width="13.59765625" customWidth="1"/>
    <col min="3" max="3" width="13.59765625" customWidth="1" outlineLevel="1"/>
    <col min="4" max="4" width="12.6640625" bestFit="1" customWidth="1"/>
    <col min="5" max="5" width="13.1328125" style="20" bestFit="1" customWidth="1"/>
    <col min="6" max="6" width="20.86328125" bestFit="1" customWidth="1"/>
    <col min="7" max="7" width="13.265625" style="10" customWidth="1"/>
    <col min="8" max="8" width="11.6640625" customWidth="1" outlineLevel="1"/>
    <col min="9" max="9" width="12.59765625" customWidth="1"/>
    <col min="10" max="10" width="13.265625" customWidth="1"/>
    <col min="11" max="12" width="9.1328125" style="15" customWidth="1"/>
    <col min="13" max="13" width="12.265625" style="15" customWidth="1"/>
    <col min="14" max="15" width="9.1328125" style="11" customWidth="1"/>
    <col min="16" max="17" width="9.1328125" customWidth="1"/>
    <col min="18" max="18" width="11.265625" bestFit="1" customWidth="1"/>
    <col min="19" max="19" width="13" customWidth="1"/>
    <col min="20" max="20" width="11" customWidth="1"/>
    <col min="21" max="21" width="10.86328125" customWidth="1"/>
    <col min="22" max="23" width="9.1328125" hidden="1" customWidth="1" outlineLevel="1"/>
    <col min="24" max="25" width="8.86328125" hidden="1" customWidth="1" outlineLevel="1"/>
    <col min="26" max="26" width="8.86328125" style="10" collapsed="1"/>
  </cols>
  <sheetData>
    <row r="1" spans="1:26" ht="32.1" customHeight="1" x14ac:dyDescent="0.45">
      <c r="A1" t="s">
        <v>88</v>
      </c>
      <c r="B1" s="22" t="s">
        <v>83</v>
      </c>
      <c r="C1" s="22"/>
      <c r="E1" t="s">
        <v>152</v>
      </c>
      <c r="F1" s="20" t="str">
        <f>VLOOKUP(B2,fleetio[],8,FALSE)</f>
        <v>2011 Chevrolet Silverado 1500 Work Truck</v>
      </c>
      <c r="I1" s="20" t="s">
        <v>153</v>
      </c>
      <c r="J1" s="23">
        <f>SUM(B41:B43)</f>
        <v>48380</v>
      </c>
      <c r="M1" s="64" t="s">
        <v>154</v>
      </c>
      <c r="N1" s="11">
        <f>J1-J2</f>
        <v>38380</v>
      </c>
    </row>
    <row r="2" spans="1:26" ht="32.1" customHeight="1" x14ac:dyDescent="0.45">
      <c r="A2" t="s">
        <v>155</v>
      </c>
      <c r="B2" s="22" t="s">
        <v>130</v>
      </c>
      <c r="C2" s="22"/>
      <c r="E2" s="20" t="s">
        <v>156</v>
      </c>
      <c r="F2" s="66">
        <f>_xlfn.MINIFS(data[date],data[vehicle_name],$B$2,data[date],"&lt;&gt;0")</f>
        <v>40751</v>
      </c>
      <c r="H2" s="20"/>
      <c r="I2" s="20" t="s">
        <v>157</v>
      </c>
      <c r="J2" s="23">
        <f>VLOOKUP(B2,upfront[],13,FALSE)</f>
        <v>10000</v>
      </c>
      <c r="M2" s="20" t="str">
        <f>IF(B39&lt;=5,B39&amp;"-year annual depreciation","5-year annual depreciation")</f>
        <v>5-year annual depreciation</v>
      </c>
      <c r="N2" s="11">
        <f>IF(B39&lt;=5,N1/B39,N1/5)</f>
        <v>7676</v>
      </c>
    </row>
    <row r="3" spans="1:26" x14ac:dyDescent="0.45">
      <c r="C3" s="20"/>
      <c r="H3" s="20"/>
      <c r="I3" s="10"/>
    </row>
    <row r="4" spans="1:26" outlineLevel="1" x14ac:dyDescent="0.45"/>
    <row r="5" spans="1:26" outlineLevel="1" x14ac:dyDescent="0.45">
      <c r="E5"/>
      <c r="G5"/>
      <c r="K5"/>
      <c r="L5"/>
      <c r="M5"/>
      <c r="N5"/>
      <c r="O5"/>
    </row>
    <row r="6" spans="1:26" outlineLevel="1" x14ac:dyDescent="0.45">
      <c r="H6" s="63">
        <f>_xlfn.XLOOKUP(-1,$H$8:$H$17,$A$8:$A$17,,-1,-1)</f>
        <v>4</v>
      </c>
      <c r="S6" s="10"/>
    </row>
    <row r="7" spans="1:26" ht="71.25" x14ac:dyDescent="0.45">
      <c r="A7" s="67" t="s">
        <v>158</v>
      </c>
      <c r="B7" s="62" t="s">
        <v>159</v>
      </c>
      <c r="C7" s="68" t="s">
        <v>160</v>
      </c>
      <c r="D7" s="69" t="s">
        <v>161</v>
      </c>
      <c r="E7" s="70" t="s">
        <v>162</v>
      </c>
      <c r="F7" s="71" t="s">
        <v>163</v>
      </c>
      <c r="G7" s="72" t="s">
        <v>164</v>
      </c>
      <c r="H7" s="62" t="s">
        <v>165</v>
      </c>
      <c r="I7" s="67" t="s">
        <v>166</v>
      </c>
      <c r="J7" s="73" t="s">
        <v>167</v>
      </c>
      <c r="K7" s="74" t="s">
        <v>168</v>
      </c>
      <c r="L7" s="74" t="s">
        <v>169</v>
      </c>
      <c r="M7" s="78" t="s">
        <v>170</v>
      </c>
      <c r="N7" s="79" t="s">
        <v>171</v>
      </c>
      <c r="O7" s="80" t="s">
        <v>94</v>
      </c>
      <c r="P7" s="79" t="s">
        <v>172</v>
      </c>
      <c r="Q7" s="80" t="s">
        <v>95</v>
      </c>
      <c r="R7" s="62" t="s">
        <v>173</v>
      </c>
      <c r="S7" s="75" t="s">
        <v>174</v>
      </c>
      <c r="T7" s="76" t="s">
        <v>175</v>
      </c>
      <c r="U7" s="77" t="s">
        <v>176</v>
      </c>
      <c r="V7" s="20" t="s">
        <v>177</v>
      </c>
      <c r="W7" s="20" t="s">
        <v>178</v>
      </c>
      <c r="X7" s="20" t="s">
        <v>179</v>
      </c>
      <c r="Y7" s="20" t="s">
        <v>180</v>
      </c>
      <c r="Z7" s="65"/>
    </row>
    <row r="8" spans="1:26" x14ac:dyDescent="0.45">
      <c r="A8" s="22" cm="1">
        <f t="array" ref="A8:A16">_xlfn.SEQUENCE(B39)</f>
        <v>1</v>
      </c>
      <c r="B8" s="53">
        <f>IF(ISBLANK(A8),"",J1-S8)</f>
        <v>40704</v>
      </c>
      <c r="C8" s="26">
        <f>IF(ISBLANK(A8),"",SUM($M$8:M8))</f>
        <v>25947</v>
      </c>
      <c r="D8" s="54">
        <f t="shared" ref="D8:D21" si="0">IF(ISBLANK(A8),"",T8/C8)</f>
        <v>0.2958338150845955</v>
      </c>
      <c r="E8" s="54">
        <f t="shared" ref="E8:E20" si="1">IF(ISBLANK(A8),"",Q8/C8)</f>
        <v>6.4530003468609098E-2</v>
      </c>
      <c r="F8" s="54">
        <f t="shared" ref="F8:F19" si="2">IF(ISBLANK(A8),"",O8/C8)</f>
        <v>0.25846153846153846</v>
      </c>
      <c r="G8" s="54">
        <f t="shared" ref="G8:G19" si="3">IF(ISBLANK(A8),"",SUM(D8:F8))</f>
        <v>0.61882535701474306</v>
      </c>
      <c r="H8" s="10">
        <f>IF(ISBLANK(A8),"",B8-R8)</f>
        <v>32323.338461538464</v>
      </c>
      <c r="I8" s="9">
        <f>F2</f>
        <v>40751</v>
      </c>
      <c r="J8" s="9">
        <f>I8+364</f>
        <v>41115</v>
      </c>
      <c r="K8" s="15">
        <v>0</v>
      </c>
      <c r="L8" s="15" cm="1">
        <f t="array" ref="L8">IF(ISBLANK(A8),"",
_xlfn.XLOOKUP(J8,((data[vehicle_name]=$B$2)*data[date]),data[meter_value],,-1,-1))</f>
        <v>25947</v>
      </c>
      <c r="M8" s="15">
        <f t="shared" ref="M8:M19" si="4">IF(ISBLANK(A8),"",L8-K8)</f>
        <v>25947</v>
      </c>
      <c r="N8" s="11">
        <f>IF(ISBLANK(A8),"",M8/$B$44*_xlfn.XLOOKUP(YEAR(I8),fuel[year],fuel[value]))</f>
        <v>6706.3015384615383</v>
      </c>
      <c r="O8" s="11">
        <f>IF(ISBLANK(A8),"",SUM($N$8:N8))</f>
        <v>6706.3015384615383</v>
      </c>
      <c r="P8" s="11">
        <f>IF(ISBLANK(A8),"",SUMIFS(data[amount],data[vehicle_name],"="&amp;$B$2,data[date],"&gt;="&amp;I8,data[date],"&lt;="&amp;J8))</f>
        <v>1674.3600000000001</v>
      </c>
      <c r="Q8" s="11">
        <f>IF(ISBLANK(A8),"",SUM($P$8:P8))</f>
        <v>1674.3600000000001</v>
      </c>
      <c r="R8" s="10">
        <f>IF(ISBLANK(A8),"",O8+Q8)</f>
        <v>8380.6615384615379</v>
      </c>
      <c r="S8" s="10">
        <f t="shared" ref="S8:S23" si="5">IF(ISBLANK(A8),"",IF(A8&lt;=5,$N$2,0))</f>
        <v>7676</v>
      </c>
      <c r="T8" s="10">
        <f>IF(ISBLANK(A8),"",SUM($S$8:S8))</f>
        <v>7676</v>
      </c>
      <c r="U8" s="10">
        <f>H8</f>
        <v>32323.338461538464</v>
      </c>
      <c r="V8" s="10" cm="1">
        <f t="array" aca="1" ref="V8:V16" ca="1">OFFSET(_xlfn.ANCHORARRAY(A8),,3)</f>
        <v>0.2958338150845955</v>
      </c>
      <c r="W8" s="10" cm="1">
        <f t="array" aca="1" ref="W8:W16" ca="1">OFFSET(_xlfn.ANCHORARRAY(A8),,4)</f>
        <v>6.4530003468609098E-2</v>
      </c>
      <c r="X8" s="10" cm="1">
        <f t="array" aca="1" ref="X8:X16" ca="1">OFFSET(_xlfn.ANCHORARRAY(A8),,5)</f>
        <v>0.25846153846153846</v>
      </c>
      <c r="Y8" s="10" cm="1">
        <f t="array" aca="1" ref="Y8:Y16" ca="1">OFFSET(_xlfn.ANCHORARRAY(A8),,6)</f>
        <v>0.61882535701474306</v>
      </c>
    </row>
    <row r="9" spans="1:26" x14ac:dyDescent="0.45">
      <c r="A9" s="22">
        <v>2</v>
      </c>
      <c r="B9" s="53">
        <f t="shared" ref="B9:B17" si="6">IF(ISBLANK(A9),"",B8-S9)</f>
        <v>33028</v>
      </c>
      <c r="C9" s="26">
        <f>IF(ISBLANK(A9),"",SUM($M$8:M9))</f>
        <v>60154</v>
      </c>
      <c r="D9" s="54">
        <f t="shared" si="0"/>
        <v>0.25521162349968413</v>
      </c>
      <c r="E9" s="54">
        <f t="shared" si="1"/>
        <v>4.8750041559996016E-2</v>
      </c>
      <c r="F9" s="54">
        <f t="shared" si="2"/>
        <v>0.21778068342536208</v>
      </c>
      <c r="G9" s="54">
        <f t="shared" si="3"/>
        <v>0.5217423484850422</v>
      </c>
      <c r="H9" s="10">
        <f t="shared" ref="H9:H18" si="7">IF(ISBLANK(A9),"",B9-R9)</f>
        <v>16995.110769230771</v>
      </c>
      <c r="I9" s="9">
        <f t="shared" ref="I9:I19" si="8">IF(ISBLANK(A9),"",J8+1)</f>
        <v>41116</v>
      </c>
      <c r="J9" s="9">
        <f t="shared" ref="J9:J19" si="9">IF(ISBLANK(A9),"",I9+364)</f>
        <v>41480</v>
      </c>
      <c r="K9" s="15" cm="1">
        <f t="array" ref="K9">IF(ISBLANK(A9),"",
_xlfn.XLOOKUP(I9,((data[vehicle_name]=$B$2)*data[date]),data[meter_value],,-1,-1))</f>
        <v>25947</v>
      </c>
      <c r="L9" s="15" cm="1">
        <f t="array" ref="L9">IF(ISBLANK(A9),"",
_xlfn.XLOOKUP(J9,((data[vehicle_name]=$B$2)*data[date]),data[meter_value],,-1,-1))</f>
        <v>60154</v>
      </c>
      <c r="M9" s="15">
        <f t="shared" si="4"/>
        <v>34207</v>
      </c>
      <c r="N9" s="11">
        <f>IF(ISBLANK(A9),"",M9/$B$44*_xlfn.XLOOKUP(YEAR(I9),fuel[year],fuel[value]))</f>
        <v>6394.0776923076928</v>
      </c>
      <c r="O9" s="11">
        <f>IF(ISBLANK(A9),"",SUM($N$8:N9))</f>
        <v>13100.379230769231</v>
      </c>
      <c r="P9" s="11">
        <f>IF(ISBLANK(A9),"",SUMIFS(data[amount],data[vehicle_name],"="&amp;$B$2,data[date],"&gt;="&amp;I9,data[date],"&lt;="&amp;J9))</f>
        <v>1258.1500000000001</v>
      </c>
      <c r="Q9" s="11">
        <f>IF(ISBLANK(A9),"",SUM($P$8:P9))</f>
        <v>2932.51</v>
      </c>
      <c r="R9" s="10">
        <f t="shared" ref="R9:R25" si="10">IF(ISBLANK(A9),"",O9+Q9)</f>
        <v>16032.889230769231</v>
      </c>
      <c r="S9" s="10">
        <f t="shared" si="5"/>
        <v>7676</v>
      </c>
      <c r="T9" s="10">
        <f>IF(ISBLANK(A9),"",SUM($S$8:S9))</f>
        <v>15352</v>
      </c>
      <c r="U9" s="10">
        <f t="shared" ref="U9:U22" si="11">H9</f>
        <v>16995.110769230771</v>
      </c>
      <c r="V9" s="10">
        <f ca="1"/>
        <v>0.25521162349968413</v>
      </c>
      <c r="W9" s="10">
        <f ca="1"/>
        <v>4.8750041559996016E-2</v>
      </c>
      <c r="X9" s="10">
        <f ca="1"/>
        <v>0.21778068342536208</v>
      </c>
      <c r="Y9" s="10">
        <f ca="1"/>
        <v>0.5217423484850422</v>
      </c>
    </row>
    <row r="10" spans="1:26" x14ac:dyDescent="0.45">
      <c r="A10" s="22">
        <v>3</v>
      </c>
      <c r="B10" s="53">
        <f t="shared" si="6"/>
        <v>25352</v>
      </c>
      <c r="C10" s="26">
        <f>IF(ISBLANK(A10),"",SUM($M$8:M10))</f>
        <v>95162</v>
      </c>
      <c r="D10" s="54">
        <f t="shared" si="0"/>
        <v>0.24198734789096488</v>
      </c>
      <c r="E10" s="54">
        <f t="shared" si="1"/>
        <v>6.1068073390639126E-2</v>
      </c>
      <c r="F10" s="54">
        <f t="shared" si="2"/>
        <v>0.19822234311368631</v>
      </c>
      <c r="G10" s="54">
        <f t="shared" si="3"/>
        <v>0.50127776439529037</v>
      </c>
      <c r="H10" s="10">
        <f t="shared" si="7"/>
        <v>677.40538461538381</v>
      </c>
      <c r="I10" s="9">
        <f t="shared" si="8"/>
        <v>41481</v>
      </c>
      <c r="J10" s="9">
        <f t="shared" si="9"/>
        <v>41845</v>
      </c>
      <c r="K10" s="15" cm="1">
        <f t="array" ref="K10">IF(ISBLANK(A10),"",
_xlfn.XLOOKUP(I10,((data[vehicle_name]=$B$2)*data[date]),data[meter_value],,-1,-1))</f>
        <v>60154</v>
      </c>
      <c r="L10" s="15" cm="1">
        <f t="array" ref="L10">IF(ISBLANK(A10),"",
_xlfn.XLOOKUP(J10,((data[vehicle_name]=$B$2)*data[date]),data[meter_value],,-1,-1))</f>
        <v>95162</v>
      </c>
      <c r="M10" s="15">
        <f t="shared" si="4"/>
        <v>35008</v>
      </c>
      <c r="N10" s="11">
        <f>IF(ISBLANK(A10),"",M10/$B$44*_xlfn.XLOOKUP(YEAR(I10),fuel[year],fuel[value]))</f>
        <v>5762.8553846153854</v>
      </c>
      <c r="O10" s="11">
        <f>IF(ISBLANK(A10),"",SUM($N$8:N10))</f>
        <v>18863.234615384616</v>
      </c>
      <c r="P10" s="11">
        <f>IF(ISBLANK(A10),"",SUMIFS(data[amount],data[vehicle_name],"="&amp;$B$2,data[date],"&gt;="&amp;I10,data[date],"&lt;="&amp;J10))</f>
        <v>2878.85</v>
      </c>
      <c r="Q10" s="11">
        <f>IF(ISBLANK(A10),"",SUM($P$8:P10))</f>
        <v>5811.3600000000006</v>
      </c>
      <c r="R10" s="10">
        <f t="shared" si="10"/>
        <v>24674.594615384616</v>
      </c>
      <c r="S10" s="10">
        <f t="shared" si="5"/>
        <v>7676</v>
      </c>
      <c r="T10" s="10">
        <f>IF(ISBLANK(A10),"",SUM($S$8:S10))</f>
        <v>23028</v>
      </c>
      <c r="U10" s="10">
        <f t="shared" si="11"/>
        <v>677.40538461538381</v>
      </c>
      <c r="V10" s="10">
        <f ca="1"/>
        <v>0.24198734789096488</v>
      </c>
      <c r="W10" s="10">
        <f ca="1"/>
        <v>6.1068073390639126E-2</v>
      </c>
      <c r="X10" s="10">
        <f ca="1"/>
        <v>0.19822234311368631</v>
      </c>
      <c r="Y10" s="10">
        <f ca="1"/>
        <v>0.50127776439529037</v>
      </c>
    </row>
    <row r="11" spans="1:26" x14ac:dyDescent="0.45">
      <c r="A11" s="22">
        <v>4</v>
      </c>
      <c r="B11" s="53">
        <f t="shared" si="6"/>
        <v>17676</v>
      </c>
      <c r="C11" s="26">
        <f>IF(ISBLANK(A11),"",SUM($M$8:M11))</f>
        <v>124459</v>
      </c>
      <c r="D11" s="54">
        <f t="shared" si="0"/>
        <v>0.24669971637246002</v>
      </c>
      <c r="E11" s="54">
        <f t="shared" si="1"/>
        <v>6.6327786660667368E-2</v>
      </c>
      <c r="F11" s="54">
        <f t="shared" si="2"/>
        <v>0.19538148182255879</v>
      </c>
      <c r="G11" s="54">
        <f t="shared" si="3"/>
        <v>0.5084089848556862</v>
      </c>
      <c r="H11" s="10">
        <f t="shared" si="7"/>
        <v>-14896.073846153846</v>
      </c>
      <c r="I11" s="9">
        <f t="shared" si="8"/>
        <v>41846</v>
      </c>
      <c r="J11" s="9">
        <f t="shared" si="9"/>
        <v>42210</v>
      </c>
      <c r="K11" s="15" cm="1">
        <f t="array" ref="K11">IF(ISBLANK(A11),"",
_xlfn.XLOOKUP(I11,((data[vehicle_name]=$B$2)*data[date]),data[meter_value],,-1,-1))</f>
        <v>95162</v>
      </c>
      <c r="L11" s="15" cm="1">
        <f t="array" ref="L11">IF(ISBLANK(A11),"",
_xlfn.XLOOKUP(J11,((data[vehicle_name]=$B$2)*data[date]),data[meter_value],,-1,-1))</f>
        <v>124459</v>
      </c>
      <c r="M11" s="15">
        <f t="shared" si="4"/>
        <v>29297</v>
      </c>
      <c r="N11" s="11">
        <f>IF(ISBLANK(A11),"",M11/$B$44*_xlfn.XLOOKUP(YEAR(I11),fuel[year],fuel[value]))</f>
        <v>5453.749230769231</v>
      </c>
      <c r="O11" s="11">
        <f>IF(ISBLANK(A11),"",SUM($N$8:N11))</f>
        <v>24316.983846153846</v>
      </c>
      <c r="P11" s="11">
        <f>IF(ISBLANK(A11),"",SUMIFS(data[amount],data[vehicle_name],"="&amp;$B$2,data[date],"&gt;="&amp;I11,data[date],"&lt;="&amp;J11))</f>
        <v>2443.7300000000005</v>
      </c>
      <c r="Q11" s="11">
        <f>IF(ISBLANK(A11),"",SUM($P$8:P11))</f>
        <v>8255.09</v>
      </c>
      <c r="R11" s="10">
        <f t="shared" si="10"/>
        <v>32572.073846153846</v>
      </c>
      <c r="S11" s="10">
        <f t="shared" si="5"/>
        <v>7676</v>
      </c>
      <c r="T11" s="10">
        <f>IF(ISBLANK(A11),"",SUM($S$8:S11))</f>
        <v>30704</v>
      </c>
      <c r="U11" s="10">
        <f t="shared" si="11"/>
        <v>-14896.073846153846</v>
      </c>
      <c r="V11" s="10">
        <f ca="1"/>
        <v>0.24669971637246002</v>
      </c>
      <c r="W11" s="10">
        <f ca="1"/>
        <v>6.6327786660667368E-2</v>
      </c>
      <c r="X11" s="10">
        <f ca="1"/>
        <v>0.19538148182255879</v>
      </c>
      <c r="Y11" s="10">
        <f ca="1"/>
        <v>0.5084089848556862</v>
      </c>
    </row>
    <row r="12" spans="1:26" x14ac:dyDescent="0.45">
      <c r="A12" s="22">
        <v>5</v>
      </c>
      <c r="B12" s="53">
        <f t="shared" si="6"/>
        <v>10000</v>
      </c>
      <c r="C12" s="26">
        <f>IF(ISBLANK(A12),"",SUM($M$8:M12))</f>
        <v>154315</v>
      </c>
      <c r="D12" s="54">
        <f t="shared" si="0"/>
        <v>0.24871205002754107</v>
      </c>
      <c r="E12" s="54">
        <f t="shared" si="1"/>
        <v>6.0104915270712503E-2</v>
      </c>
      <c r="F12" s="54">
        <f t="shared" si="2"/>
        <v>0.19910274937129099</v>
      </c>
      <c r="G12" s="54">
        <f t="shared" si="3"/>
        <v>0.50791971466954455</v>
      </c>
      <c r="H12" s="10">
        <f t="shared" si="7"/>
        <v>-29999.630769230775</v>
      </c>
      <c r="I12" s="9">
        <f t="shared" si="8"/>
        <v>42211</v>
      </c>
      <c r="J12" s="9">
        <f t="shared" si="9"/>
        <v>42575</v>
      </c>
      <c r="K12" s="15" cm="1">
        <f t="array" ref="K12">IF(ISBLANK(A12),"",
_xlfn.XLOOKUP(I12,((data[vehicle_name]=$B$2)*data[date]),data[meter_value],,-1,-1))</f>
        <v>124459</v>
      </c>
      <c r="L12" s="15" cm="1">
        <f t="array" ref="L12">IF(ISBLANK(A12),"",
_xlfn.XLOOKUP(J12,((data[vehicle_name]=$B$2)*data[date]),data[meter_value],,-1,-1))</f>
        <v>154315</v>
      </c>
      <c r="M12" s="15">
        <f t="shared" si="4"/>
        <v>29856</v>
      </c>
      <c r="N12" s="11">
        <f>IF(ISBLANK(A12),"",M12/$B$44*_xlfn.XLOOKUP(YEAR(I12),fuel[year],fuel[value]))</f>
        <v>6407.5569230769233</v>
      </c>
      <c r="O12" s="11">
        <f>IF(ISBLANK(A12),"",SUM($N$8:N12))</f>
        <v>30724.540769230771</v>
      </c>
      <c r="P12" s="11">
        <f>IF(ISBLANK(A12),"",SUMIFS(data[amount],data[vehicle_name],"="&amp;$B$2,data[date],"&gt;="&amp;I12,data[date],"&lt;="&amp;J12))</f>
        <v>1020</v>
      </c>
      <c r="Q12" s="11">
        <f>IF(ISBLANK(A12),"",SUM($P$8:P12))</f>
        <v>9275.09</v>
      </c>
      <c r="R12" s="10">
        <f t="shared" si="10"/>
        <v>39999.630769230775</v>
      </c>
      <c r="S12" s="10">
        <f t="shared" si="5"/>
        <v>7676</v>
      </c>
      <c r="T12" s="10">
        <f>IF(ISBLANK(A12),"",SUM($S$8:S12))</f>
        <v>38380</v>
      </c>
      <c r="U12" s="10">
        <f t="shared" si="11"/>
        <v>-29999.630769230775</v>
      </c>
      <c r="V12" s="10">
        <f ca="1"/>
        <v>0.24871205002754107</v>
      </c>
      <c r="W12" s="10">
        <f ca="1"/>
        <v>6.0104915270712503E-2</v>
      </c>
      <c r="X12" s="10">
        <f ca="1"/>
        <v>0.19910274937129099</v>
      </c>
      <c r="Y12" s="10">
        <f ca="1"/>
        <v>0.50791971466954455</v>
      </c>
    </row>
    <row r="13" spans="1:26" x14ac:dyDescent="0.45">
      <c r="A13" s="22">
        <v>6</v>
      </c>
      <c r="B13" s="53">
        <f t="shared" si="6"/>
        <v>10000</v>
      </c>
      <c r="C13" s="26">
        <f>IF(ISBLANK(A13),"",SUM($M$8:M13))</f>
        <v>196333</v>
      </c>
      <c r="D13" s="54">
        <f t="shared" si="0"/>
        <v>0.19548420285942761</v>
      </c>
      <c r="E13" s="54">
        <f t="shared" si="1"/>
        <v>5.0810510713940098E-2</v>
      </c>
      <c r="F13" s="54">
        <f t="shared" si="2"/>
        <v>0.19929477351861771</v>
      </c>
      <c r="G13" s="54">
        <f t="shared" si="3"/>
        <v>0.44558948709198543</v>
      </c>
      <c r="H13" s="10">
        <f t="shared" si="7"/>
        <v>-39103.920769230768</v>
      </c>
      <c r="I13" s="9">
        <f t="shared" si="8"/>
        <v>42576</v>
      </c>
      <c r="J13" s="9">
        <f t="shared" si="9"/>
        <v>42940</v>
      </c>
      <c r="K13" s="15" cm="1">
        <f t="array" ref="K13">IF(ISBLANK(A13),"",
_xlfn.XLOOKUP(I13,((data[vehicle_name]=$B$2)*data[date]),data[meter_value],,-1,-1))</f>
        <v>154315</v>
      </c>
      <c r="L13" s="15" cm="1">
        <f t="array" ref="L13">IF(ISBLANK(A13),"",
_xlfn.XLOOKUP(J13,((data[vehicle_name]=$B$2)*data[date]),data[meter_value],,-1,-1))</f>
        <v>196333</v>
      </c>
      <c r="M13" s="15">
        <f t="shared" si="4"/>
        <v>42018</v>
      </c>
      <c r="N13" s="11">
        <f>IF(ISBLANK(A13),"",M13/$B$44*_xlfn.XLOOKUP(YEAR(I13),fuel[year],fuel[value]))</f>
        <v>8403.6</v>
      </c>
      <c r="O13" s="11">
        <f>IF(ISBLANK(A13),"",SUM($N$8:N13))</f>
        <v>39128.140769230769</v>
      </c>
      <c r="P13" s="11">
        <f>IF(ISBLANK(A13),"",SUMIFS(data[amount],data[vehicle_name],"="&amp;$B$2,data[date],"&gt;="&amp;I13,data[date],"&lt;="&amp;J13))</f>
        <v>700.69</v>
      </c>
      <c r="Q13" s="11">
        <f>IF(ISBLANK(A13),"",SUM($P$8:P13))</f>
        <v>9975.7800000000007</v>
      </c>
      <c r="R13" s="10">
        <f t="shared" si="10"/>
        <v>49103.920769230768</v>
      </c>
      <c r="S13" s="10">
        <f t="shared" si="5"/>
        <v>0</v>
      </c>
      <c r="T13" s="10">
        <f>IF(ISBLANK(A13),"",SUM($S$8:S13))</f>
        <v>38380</v>
      </c>
      <c r="U13" s="10">
        <f t="shared" si="11"/>
        <v>-39103.920769230768</v>
      </c>
      <c r="V13" s="10">
        <f ca="1"/>
        <v>0.19548420285942761</v>
      </c>
      <c r="W13" s="10">
        <f ca="1"/>
        <v>5.0810510713940098E-2</v>
      </c>
      <c r="X13" s="10">
        <f ca="1"/>
        <v>0.19929477351861771</v>
      </c>
      <c r="Y13" s="10">
        <f ca="1"/>
        <v>0.44558948709198543</v>
      </c>
    </row>
    <row r="14" spans="1:26" x14ac:dyDescent="0.45">
      <c r="A14" s="22">
        <v>7</v>
      </c>
      <c r="B14" s="53">
        <f t="shared" si="6"/>
        <v>10000</v>
      </c>
      <c r="C14" s="26">
        <f>IF(ISBLANK(A14),"",SUM($M$8:M14))</f>
        <v>237195</v>
      </c>
      <c r="D14" s="54">
        <f t="shared" si="0"/>
        <v>0.16180779527393074</v>
      </c>
      <c r="E14" s="54">
        <f t="shared" si="1"/>
        <v>6.2265477771453873E-2</v>
      </c>
      <c r="F14" s="54">
        <f t="shared" si="2"/>
        <v>0.19358552764927267</v>
      </c>
      <c r="G14" s="54">
        <f t="shared" si="3"/>
        <v>0.41765880069465727</v>
      </c>
      <c r="H14" s="10">
        <f t="shared" si="7"/>
        <v>-50686.579230769232</v>
      </c>
      <c r="I14" s="9">
        <f t="shared" si="8"/>
        <v>42941</v>
      </c>
      <c r="J14" s="9">
        <f t="shared" si="9"/>
        <v>43305</v>
      </c>
      <c r="K14" s="15" cm="1">
        <f t="array" ref="K14">IF(ISBLANK(A14),"",
_xlfn.XLOOKUP(I14,((data[vehicle_name]=$B$2)*data[date]),data[meter_value],,-1,-1))</f>
        <v>196333</v>
      </c>
      <c r="L14" s="15" cm="1">
        <f t="array" ref="L14">IF(ISBLANK(A14),"",
_xlfn.XLOOKUP(J14,((data[vehicle_name]=$B$2)*data[date]),data[meter_value],,-1,-1))</f>
        <v>237195</v>
      </c>
      <c r="M14" s="15">
        <f t="shared" si="4"/>
        <v>40862</v>
      </c>
      <c r="N14" s="11">
        <f>IF(ISBLANK(A14),"",M14/$B$44*_xlfn.XLOOKUP(YEAR(I14),fuel[year],fuel[value]))</f>
        <v>6789.378461538462</v>
      </c>
      <c r="O14" s="11">
        <f>IF(ISBLANK(A14),"",SUM($N$8:N14))</f>
        <v>45917.519230769234</v>
      </c>
      <c r="P14" s="11">
        <f>IF(ISBLANK(A14),"",SUMIFS(data[amount],data[vehicle_name],"="&amp;$B$2,data[date],"&gt;="&amp;I14,data[date],"&lt;="&amp;J14))</f>
        <v>4793.2800000000007</v>
      </c>
      <c r="Q14" s="11">
        <f>IF(ISBLANK(A14),"",SUM($P$8:P14))</f>
        <v>14769.060000000001</v>
      </c>
      <c r="R14" s="10">
        <f t="shared" si="10"/>
        <v>60686.579230769232</v>
      </c>
      <c r="S14" s="10">
        <f t="shared" si="5"/>
        <v>0</v>
      </c>
      <c r="T14" s="10">
        <f>IF(ISBLANK(A14),"",SUM($S$8:S14))</f>
        <v>38380</v>
      </c>
      <c r="U14" s="10">
        <f t="shared" si="11"/>
        <v>-50686.579230769232</v>
      </c>
      <c r="V14" s="10">
        <f ca="1"/>
        <v>0.16180779527393074</v>
      </c>
      <c r="W14" s="10">
        <f ca="1"/>
        <v>6.2265477771453873E-2</v>
      </c>
      <c r="X14" s="10">
        <f ca="1"/>
        <v>0.19358552764927267</v>
      </c>
      <c r="Y14" s="10">
        <f ca="1"/>
        <v>0.41765880069465727</v>
      </c>
    </row>
    <row r="15" spans="1:26" x14ac:dyDescent="0.45">
      <c r="A15" s="22">
        <v>8</v>
      </c>
      <c r="B15" s="53">
        <f t="shared" si="6"/>
        <v>10000</v>
      </c>
      <c r="C15" s="26">
        <f>IF(ISBLANK(A15),"",SUM($M$8:M15))</f>
        <v>256002</v>
      </c>
      <c r="D15" s="54">
        <f t="shared" si="0"/>
        <v>0.149920703744502</v>
      </c>
      <c r="E15" s="54">
        <f t="shared" si="1"/>
        <v>6.4285435270036953E-2</v>
      </c>
      <c r="F15" s="54">
        <f t="shared" si="2"/>
        <v>0.19349165240896554</v>
      </c>
      <c r="G15" s="54">
        <f t="shared" si="3"/>
        <v>0.40769779142350449</v>
      </c>
      <c r="H15" s="10">
        <f t="shared" si="7"/>
        <v>-55991.45</v>
      </c>
      <c r="I15" s="9">
        <f t="shared" si="8"/>
        <v>43306</v>
      </c>
      <c r="J15" s="9">
        <f t="shared" si="9"/>
        <v>43670</v>
      </c>
      <c r="K15" s="15" cm="1">
        <f t="array" ref="K15">IF(ISBLANK(A15),"",
_xlfn.XLOOKUP(I15,((data[vehicle_name]=$B$2)*data[date]),data[meter_value],,-1,-1))</f>
        <v>237195</v>
      </c>
      <c r="L15" s="15" cm="1">
        <f t="array" ref="L15">IF(ISBLANK(A15),"",
_xlfn.XLOOKUP(J15,((data[vehicle_name]=$B$2)*data[date]),data[meter_value],,-1,-1))</f>
        <v>256002</v>
      </c>
      <c r="M15" s="15">
        <f t="shared" si="4"/>
        <v>18807</v>
      </c>
      <c r="N15" s="11">
        <f>IF(ISBLANK(A15),"",M15/$B$44*_xlfn.XLOOKUP(YEAR(I15),fuel[year],fuel[value]))</f>
        <v>3616.7307692307691</v>
      </c>
      <c r="O15" s="11">
        <f>IF(ISBLANK(A15),"",SUM($N$8:N15))</f>
        <v>49534.25</v>
      </c>
      <c r="P15" s="11">
        <f>IF(ISBLANK(A15),"",SUMIFS(data[amount],data[vehicle_name],"="&amp;$B$2,data[date],"&gt;="&amp;I15,data[date],"&lt;="&amp;J15))</f>
        <v>1688.1399999999999</v>
      </c>
      <c r="Q15" s="11">
        <f>IF(ISBLANK(A15),"",SUM($P$8:P15))</f>
        <v>16457.2</v>
      </c>
      <c r="R15" s="10">
        <f t="shared" si="10"/>
        <v>65991.45</v>
      </c>
      <c r="S15" s="10">
        <f t="shared" si="5"/>
        <v>0</v>
      </c>
      <c r="T15" s="10">
        <f>IF(ISBLANK(A15),"",SUM($S$8:S15))</f>
        <v>38380</v>
      </c>
      <c r="U15" s="10">
        <f t="shared" si="11"/>
        <v>-55991.45</v>
      </c>
      <c r="V15" s="10">
        <f ca="1"/>
        <v>0.149920703744502</v>
      </c>
      <c r="W15" s="10">
        <f ca="1"/>
        <v>6.4285435270036953E-2</v>
      </c>
      <c r="X15" s="10">
        <f ca="1"/>
        <v>0.19349165240896554</v>
      </c>
      <c r="Y15" s="10">
        <f ca="1"/>
        <v>0.40769779142350449</v>
      </c>
    </row>
    <row r="16" spans="1:26" x14ac:dyDescent="0.45">
      <c r="A16" s="22">
        <v>9</v>
      </c>
      <c r="B16" s="53">
        <f t="shared" si="6"/>
        <v>10000</v>
      </c>
      <c r="C16" s="26">
        <f>IF(ISBLANK(A16),"",SUM($M$8:M16))</f>
        <v>273776</v>
      </c>
      <c r="D16" s="54">
        <f t="shared" si="0"/>
        <v>0.14018759862077027</v>
      </c>
      <c r="E16" s="54">
        <f t="shared" si="1"/>
        <v>6.3024662497808429E-2</v>
      </c>
      <c r="F16" s="54">
        <f t="shared" si="2"/>
        <v>0.19341478772089929</v>
      </c>
      <c r="G16" s="54">
        <f t="shared" si="3"/>
        <v>0.39662704883947797</v>
      </c>
      <c r="H16" s="10">
        <f t="shared" si="7"/>
        <v>-60206.966923076921</v>
      </c>
      <c r="I16" s="9">
        <f t="shared" si="8"/>
        <v>43671</v>
      </c>
      <c r="J16" s="9">
        <f t="shared" si="9"/>
        <v>44035</v>
      </c>
      <c r="K16" s="15" cm="1">
        <f t="array" ref="K16">IF(ISBLANK(A16),"",
_xlfn.XLOOKUP(I16,((data[vehicle_name]=$B$2)*data[date]),data[meter_value],,-1,-1))</f>
        <v>256002</v>
      </c>
      <c r="L16" s="15" cm="1">
        <f t="array" ref="L16">IF(ISBLANK(A16),"",
_xlfn.XLOOKUP(J16,((data[vehicle_name]=$B$2)*data[date]),data[meter_value],,-1,-1))</f>
        <v>273776</v>
      </c>
      <c r="M16" s="15">
        <f t="shared" si="4"/>
        <v>17774</v>
      </c>
      <c r="N16" s="11">
        <f>IF(ISBLANK(A16),"",M16/$B$44*_xlfn.XLOOKUP(YEAR(I16),fuel[year],fuel[value]))</f>
        <v>3418.0769230769233</v>
      </c>
      <c r="O16" s="11">
        <f>IF(ISBLANK(A16),"",SUM($N$8:N16))</f>
        <v>52952.326923076922</v>
      </c>
      <c r="P16" s="11">
        <f>IF(ISBLANK(A16),"",SUMIFS(data[amount],data[vehicle_name],"="&amp;$B$2,data[date],"&gt;="&amp;I16,data[date],"&lt;="&amp;J16))</f>
        <v>797.44</v>
      </c>
      <c r="Q16" s="11">
        <f>IF(ISBLANK(A16),"",SUM($P$8:P16))</f>
        <v>17254.64</v>
      </c>
      <c r="R16" s="10">
        <f t="shared" si="10"/>
        <v>70206.966923076921</v>
      </c>
      <c r="S16" s="10">
        <f t="shared" si="5"/>
        <v>0</v>
      </c>
      <c r="T16" s="10">
        <f>IF(ISBLANK(A16),"",SUM($S$8:S16))</f>
        <v>38380</v>
      </c>
      <c r="U16" s="10">
        <f t="shared" si="11"/>
        <v>-60206.966923076921</v>
      </c>
      <c r="V16" s="10">
        <f ca="1"/>
        <v>0.14018759862077027</v>
      </c>
      <c r="W16" s="10">
        <f ca="1"/>
        <v>6.3024662497808429E-2</v>
      </c>
      <c r="X16" s="10">
        <f ca="1"/>
        <v>0.19341478772089929</v>
      </c>
      <c r="Y16" s="10">
        <f ca="1"/>
        <v>0.39662704883947797</v>
      </c>
    </row>
    <row r="17" spans="1:26" x14ac:dyDescent="0.45">
      <c r="A17" s="22"/>
      <c r="B17" s="53" t="str">
        <f t="shared" si="6"/>
        <v/>
      </c>
      <c r="C17" s="26" t="str">
        <f>IF(ISBLANK(A17),"",SUM($M$8:M17))</f>
        <v/>
      </c>
      <c r="D17" s="54" t="str">
        <f t="shared" si="0"/>
        <v/>
      </c>
      <c r="E17" s="54" t="str">
        <f t="shared" si="1"/>
        <v/>
      </c>
      <c r="F17" s="54" t="str">
        <f t="shared" si="2"/>
        <v/>
      </c>
      <c r="G17" s="54" t="str">
        <f t="shared" si="3"/>
        <v/>
      </c>
      <c r="H17" s="10" t="str">
        <f t="shared" si="7"/>
        <v/>
      </c>
      <c r="I17" s="9" t="str">
        <f t="shared" si="8"/>
        <v/>
      </c>
      <c r="J17" s="9" t="str">
        <f t="shared" si="9"/>
        <v/>
      </c>
      <c r="K17" s="15" t="str" cm="1">
        <f t="array" ref="K17">IF(ISBLANK(A17),"",
_xlfn.XLOOKUP(I17,((data[vehicle_name]=$B$2)*data[date]),data[meter_value],,-1,-1))</f>
        <v/>
      </c>
      <c r="L17" s="15" t="str" cm="1">
        <f t="array" ref="L17">IF(ISBLANK(A17),"",
_xlfn.XLOOKUP(J17,((data[vehicle_name]=$B$2)*data[date]),data[meter_value],,-1,-1))</f>
        <v/>
      </c>
      <c r="M17" s="15" t="str">
        <f t="shared" si="4"/>
        <v/>
      </c>
      <c r="N17" s="11" t="str">
        <f>IF(ISBLANK(A17),"",M17/$B$44*_xlfn.XLOOKUP(YEAR(I17),fuel[year],fuel[value]))</f>
        <v/>
      </c>
      <c r="O17" s="11" t="str">
        <f>IF(ISBLANK(A17),"",SUM($N$8:N17))</f>
        <v/>
      </c>
      <c r="P17" s="11" t="str">
        <f>IF(ISBLANK(A17),"",SUMIFS(data[amount],data[vehicle_name],"="&amp;$B$2,data[date],"&gt;="&amp;I17,data[date],"&lt;="&amp;J17))</f>
        <v/>
      </c>
      <c r="Q17" s="11" t="str">
        <f>IF(ISBLANK(A17),"",SUM($P$8:P17))</f>
        <v/>
      </c>
      <c r="R17" s="10" t="str">
        <f t="shared" si="10"/>
        <v/>
      </c>
      <c r="S17" s="10" t="str">
        <f t="shared" si="5"/>
        <v/>
      </c>
      <c r="T17" s="10" t="str">
        <f>IF(ISBLANK(A17),"",SUM($S$8:S17))</f>
        <v/>
      </c>
      <c r="U17" s="10" t="str">
        <f t="shared" si="11"/>
        <v/>
      </c>
      <c r="V17" s="10"/>
      <c r="W17" s="10"/>
      <c r="X17" s="10"/>
      <c r="Y17" s="10"/>
    </row>
    <row r="18" spans="1:26" x14ac:dyDescent="0.45">
      <c r="A18" s="22"/>
      <c r="B18" s="11" t="str">
        <f t="shared" ref="B18" si="12">IF(ISBLANK(A18),"",MAX(B17 -  (2* (1/5) * B17),0))</f>
        <v/>
      </c>
      <c r="C18" s="26" t="str">
        <f>IF(ISBLANK(A18),"",SUM($M$8:M18))</f>
        <v/>
      </c>
      <c r="D18" s="54" t="str">
        <f t="shared" si="0"/>
        <v/>
      </c>
      <c r="E18" s="54" t="str">
        <f t="shared" si="1"/>
        <v/>
      </c>
      <c r="F18" s="54" t="str">
        <f t="shared" si="2"/>
        <v/>
      </c>
      <c r="G18" s="54" t="str">
        <f t="shared" si="3"/>
        <v/>
      </c>
      <c r="H18" s="10" t="str">
        <f t="shared" si="7"/>
        <v/>
      </c>
      <c r="I18" s="9" t="str">
        <f t="shared" si="8"/>
        <v/>
      </c>
      <c r="J18" s="9" t="str">
        <f t="shared" si="9"/>
        <v/>
      </c>
      <c r="K18" s="15" t="str" cm="1">
        <f t="array" ref="K18">IF(ISBLANK(A18),"",
_xlfn.XLOOKUP(I18,((data[vehicle_name]=$B$2)*data[date]),data[meter_value],,-1,-1))</f>
        <v/>
      </c>
      <c r="L18" s="15" t="str" cm="1">
        <f t="array" ref="L18">IF(ISBLANK(A18),"",
_xlfn.XLOOKUP(J18,((data[vehicle_name]=$B$2)*data[date]),data[meter_value],,-1,-1))</f>
        <v/>
      </c>
      <c r="M18" s="15" t="str">
        <f t="shared" si="4"/>
        <v/>
      </c>
      <c r="N18" s="11" t="str">
        <f>IF(ISBLANK(A18),"",M18/$B$44*_xlfn.XLOOKUP(YEAR(I18),fuel[year],fuel[value]))</f>
        <v/>
      </c>
      <c r="O18" s="11" t="str">
        <f>IF(ISBLANK(A18),"",SUM($N$8:N18))</f>
        <v/>
      </c>
      <c r="P18" s="11"/>
      <c r="Q18" s="11" t="str">
        <f>IF(ISBLANK(A18),"",SUM($P$8:P18))</f>
        <v/>
      </c>
      <c r="R18" s="10" t="str">
        <f t="shared" si="10"/>
        <v/>
      </c>
      <c r="S18" s="10" t="str">
        <f t="shared" si="5"/>
        <v/>
      </c>
      <c r="T18" s="10" t="str">
        <f>IF(ISBLANK(A18),"",SUM($S$8:S18))</f>
        <v/>
      </c>
      <c r="U18" s="10" t="str">
        <f t="shared" si="11"/>
        <v/>
      </c>
      <c r="V18" s="10"/>
      <c r="W18" s="10"/>
      <c r="X18" s="10"/>
      <c r="Y18" s="10"/>
    </row>
    <row r="19" spans="1:26" x14ac:dyDescent="0.45">
      <c r="A19" s="22"/>
      <c r="C19" s="26" t="str">
        <f>IF(ISBLANK(A19),"",SUM($M$8:M19))</f>
        <v/>
      </c>
      <c r="D19" s="54" t="str">
        <f t="shared" si="0"/>
        <v/>
      </c>
      <c r="E19" s="54" t="str">
        <f t="shared" si="1"/>
        <v/>
      </c>
      <c r="F19" s="54" t="str">
        <f t="shared" si="2"/>
        <v/>
      </c>
      <c r="G19" s="54" t="str">
        <f t="shared" si="3"/>
        <v/>
      </c>
      <c r="H19" s="10" t="str">
        <f>IF(ISBLANK(A19),"",D22-R19)</f>
        <v/>
      </c>
      <c r="I19" s="9" t="str">
        <f t="shared" si="8"/>
        <v/>
      </c>
      <c r="J19" s="9" t="str">
        <f t="shared" si="9"/>
        <v/>
      </c>
      <c r="K19" s="15" t="str" cm="1">
        <f t="array" ref="K19">IF(ISBLANK(A19),"",
_xlfn.XLOOKUP(I19,((data[vehicle_name]=$B$2)*data[date]),data[meter_value],,-1,-1))</f>
        <v/>
      </c>
      <c r="L19" s="15" t="str" cm="1">
        <f t="array" ref="L19">IF(ISBLANK(A19),"",
_xlfn.XLOOKUP(J19,((data[vehicle_name]=$B$2)*data[date]),data[meter_value],,-1,-1))</f>
        <v/>
      </c>
      <c r="M19" s="15" t="str">
        <f t="shared" si="4"/>
        <v/>
      </c>
      <c r="N19" s="11" t="str">
        <f>IF(ISBLANK(A19),"",M19/$B$44*_xlfn.XLOOKUP(YEAR(I19),fuel[year],fuel[value]))</f>
        <v/>
      </c>
      <c r="O19" s="11" t="str">
        <f>IF(ISBLANK(A19),"",SUM($N$8:N19))</f>
        <v/>
      </c>
      <c r="P19" s="11"/>
      <c r="Q19" s="11" t="str">
        <f>IF(ISBLANK(A19),"",SUM($P$8:P19))</f>
        <v/>
      </c>
      <c r="R19" s="10" t="str">
        <f t="shared" si="10"/>
        <v/>
      </c>
      <c r="S19" s="10" t="str">
        <f t="shared" si="5"/>
        <v/>
      </c>
      <c r="T19" s="10" t="str">
        <f>IF(ISBLANK(A19),"",SUM($S$8:S19))</f>
        <v/>
      </c>
      <c r="U19" s="10" t="str">
        <f t="shared" si="11"/>
        <v/>
      </c>
      <c r="V19" s="10" t="str">
        <f>IF(ISBLANK(A19),"",#REF!/C19)</f>
        <v/>
      </c>
      <c r="W19" s="10"/>
      <c r="X19" s="10"/>
      <c r="Y19" s="10"/>
      <c r="Z19" s="10" t="str">
        <f>IF(ISBLANK(A19),"",IF(A19&lt;=$B$39,$N$2,0))</f>
        <v/>
      </c>
    </row>
    <row r="20" spans="1:26" x14ac:dyDescent="0.45">
      <c r="A20" s="22"/>
      <c r="C20" s="26" t="str">
        <f>IF(ISBLANK(A20),"",SUM($M$8:M20))</f>
        <v/>
      </c>
      <c r="D20" s="54" t="str">
        <f t="shared" si="0"/>
        <v/>
      </c>
      <c r="E20" s="54" t="str">
        <f t="shared" si="1"/>
        <v/>
      </c>
      <c r="F20" s="22"/>
      <c r="G20" s="22" t="s">
        <v>181</v>
      </c>
      <c r="H20" s="10" t="str">
        <f>IF(ISBLANK(A20),"",D23-R20)</f>
        <v/>
      </c>
      <c r="K20"/>
      <c r="L20" s="15" t="str" cm="1">
        <f t="array" ref="L20">IF(ISBLANK(A20),"",
_xlfn.XLOOKUP(J20,((data[vehicle_name]=$B$2)*data[date]),data[meter_value],,-1,-1))</f>
        <v/>
      </c>
      <c r="M20" s="34"/>
      <c r="N20" s="11" t="str">
        <f>IF(ISBLANK(A20),"",M20/$B$44*_xlfn.XLOOKUP(YEAR(I20),fuel[year],fuel[value]))</f>
        <v/>
      </c>
      <c r="P20" s="11"/>
      <c r="Q20" s="11" t="str">
        <f>IF(ISBLANK(A20),"",SUM($P$8:P20))</f>
        <v/>
      </c>
      <c r="R20" s="10" t="str">
        <f t="shared" si="10"/>
        <v/>
      </c>
      <c r="S20" s="10" t="str">
        <f t="shared" si="5"/>
        <v/>
      </c>
      <c r="T20" s="10" t="str">
        <f>IF(ISBLANK(A20),"",SUM($S$8:S20))</f>
        <v/>
      </c>
      <c r="U20" s="10" t="str">
        <f t="shared" si="11"/>
        <v/>
      </c>
      <c r="V20" s="10" t="str">
        <f>IF(ISBLANK(A20),"",#REF!/C20)</f>
        <v/>
      </c>
      <c r="W20" s="10"/>
      <c r="X20" s="10"/>
      <c r="Y20" s="10"/>
    </row>
    <row r="21" spans="1:26" x14ac:dyDescent="0.45">
      <c r="A21" s="22"/>
      <c r="B21" s="11" t="str">
        <f>IF(ISBLANK(A21),"",MAX(D23 -  (2* (1/5) * D23),0))</f>
        <v/>
      </c>
      <c r="C21" s="26" t="str">
        <f>IF(ISBLANK(A21),"",SUM($M$8:M21))</f>
        <v/>
      </c>
      <c r="D21" s="54" t="str">
        <f t="shared" si="0"/>
        <v/>
      </c>
      <c r="E21" s="55"/>
      <c r="F21" s="22"/>
      <c r="G21" s="22"/>
      <c r="H21" s="10" t="str">
        <f>IF(ISBLANK(A21),"",B21-R21)</f>
        <v/>
      </c>
      <c r="K21"/>
      <c r="L21" s="15" t="str" cm="1">
        <f t="array" ref="L21">IF(ISBLANK(A21),"",
_xlfn.XLOOKUP(J21,((data[vehicle_name]=$B$2)*data[date]),data[meter_value],,-1,-1))</f>
        <v/>
      </c>
      <c r="M21" s="15" t="str">
        <f>IF(ISBLANK(A21),"",L21-K21)</f>
        <v/>
      </c>
      <c r="N21" s="11" t="str">
        <f>IF(ISBLANK(A21),"",M21/$B$44*_xlfn.XLOOKUP(YEAR(I21),fuel[year],fuel[value]))</f>
        <v/>
      </c>
      <c r="P21" s="11"/>
      <c r="Q21" s="11" t="str">
        <f>IF(ISBLANK(A21),"",SUM($P$8:P21))</f>
        <v/>
      </c>
      <c r="R21" s="10" t="str">
        <f t="shared" si="10"/>
        <v/>
      </c>
      <c r="S21" s="10" t="str">
        <f t="shared" si="5"/>
        <v/>
      </c>
      <c r="T21" s="10" t="str">
        <f>IF(ISBLANK(A21),"",SUM($S$8:S21))</f>
        <v/>
      </c>
      <c r="U21" s="10" t="str">
        <f t="shared" si="11"/>
        <v/>
      </c>
      <c r="V21" s="10" t="str">
        <f>IF(ISBLANK(A21),"",#REF!/C21)</f>
        <v/>
      </c>
      <c r="W21" s="10"/>
      <c r="X21" s="10"/>
      <c r="Y21" s="10"/>
    </row>
    <row r="22" spans="1:26" x14ac:dyDescent="0.45">
      <c r="B22" s="11"/>
      <c r="C22" s="15"/>
      <c r="D22" s="11" t="str">
        <f>VLOOKUP(B1,Table7[],2,FALSE)</f>
        <v>Redford</v>
      </c>
      <c r="E22" s="55"/>
      <c r="F22" s="22"/>
      <c r="G22" s="22"/>
      <c r="H22" s="10" t="str">
        <f>IF(ISBLANK(A22),"",B22-R22)</f>
        <v/>
      </c>
      <c r="K22"/>
      <c r="M22" s="15" t="str">
        <f>IF(ISBLANK(A22),"",L22-K22)</f>
        <v/>
      </c>
      <c r="N22" s="11" t="str">
        <f>IF(ISBLANK(A22),"",M22/$B$44*_xlfn.XLOOKUP(A22,fuel[year],fuel[value]))</f>
        <v/>
      </c>
      <c r="P22" s="11"/>
      <c r="Q22" s="11" t="str">
        <f>IF(ISBLANK(A22),"",SUM($P$8:P22))</f>
        <v/>
      </c>
      <c r="R22" s="10" t="str">
        <f t="shared" si="10"/>
        <v/>
      </c>
      <c r="S22" s="10" t="str">
        <f t="shared" si="5"/>
        <v/>
      </c>
      <c r="U22" s="10" t="str">
        <f t="shared" si="11"/>
        <v/>
      </c>
      <c r="V22" s="10" t="str">
        <f>IF(ISBLANK(A22),"",#REF!/C22)</f>
        <v/>
      </c>
      <c r="W22" s="10"/>
      <c r="X22" s="10"/>
      <c r="Y22" s="10"/>
    </row>
    <row r="23" spans="1:26" x14ac:dyDescent="0.45">
      <c r="B23" s="11"/>
      <c r="C23" s="11"/>
      <c r="D23" s="11" t="str">
        <f>IF(ISERROR(H6),"This is a useful vehicle", "The useful life of this vehicle is "&amp;H6&amp;" years")</f>
        <v>The useful life of this vehicle is 4 years</v>
      </c>
      <c r="E23" s="55"/>
      <c r="F23" s="22"/>
      <c r="G23" s="22"/>
      <c r="K23"/>
      <c r="N23" s="11" t="str">
        <f>IF(ISBLANK(A23),"",M23/$B$44*_xlfn.XLOOKUP(A23,fuel[year],fuel[value]))</f>
        <v/>
      </c>
      <c r="P23" s="11"/>
      <c r="Q23" s="11"/>
      <c r="R23" s="10" t="str">
        <f t="shared" si="10"/>
        <v/>
      </c>
      <c r="S23" s="10" t="str">
        <f t="shared" si="5"/>
        <v/>
      </c>
      <c r="U23" s="10"/>
      <c r="V23" s="10" t="str">
        <f>IF(ISBLANK(A23),"",#REF!/#REF!)</f>
        <v/>
      </c>
      <c r="W23" s="10"/>
      <c r="X23" s="10"/>
      <c r="Y23" s="10"/>
    </row>
    <row r="24" spans="1:26" x14ac:dyDescent="0.45">
      <c r="D24" s="22"/>
      <c r="E24" s="56"/>
      <c r="F24" s="22"/>
      <c r="G24" s="22"/>
      <c r="K24"/>
      <c r="N24" s="11" t="str">
        <f>IF(ISBLANK(A24),"",M24/$B$44*_xlfn.XLOOKUP(A24,fuel[year],fuel[value]))</f>
        <v/>
      </c>
      <c r="Q24" s="11"/>
      <c r="R24" s="10" t="str">
        <f t="shared" si="10"/>
        <v/>
      </c>
      <c r="U24" s="10"/>
      <c r="V24" s="10"/>
      <c r="W24" s="10"/>
      <c r="X24" s="10"/>
      <c r="Y24" s="10"/>
    </row>
    <row r="25" spans="1:26" x14ac:dyDescent="0.45">
      <c r="D25" s="22"/>
      <c r="E25" s="56"/>
      <c r="F25" s="22"/>
      <c r="G25" s="22"/>
      <c r="K25"/>
      <c r="N25" s="11" t="str">
        <f>IF(ISBLANK(A25),"",M25/$B$44*_xlfn.XLOOKUP(A25,fuel[year],fuel[value]))</f>
        <v/>
      </c>
      <c r="Q25" s="11"/>
      <c r="R25" s="10" t="str">
        <f t="shared" si="10"/>
        <v/>
      </c>
      <c r="U25" s="10"/>
      <c r="V25" s="10"/>
      <c r="W25" s="10"/>
      <c r="X25" s="10"/>
      <c r="Y25" s="10"/>
    </row>
    <row r="26" spans="1:26" x14ac:dyDescent="0.45">
      <c r="D26" s="22"/>
      <c r="E26" s="56"/>
      <c r="F26" s="22"/>
      <c r="G26" s="22"/>
      <c r="K26"/>
      <c r="N26" s="11" t="str">
        <f>IF(ISBLANK(A26),"",M26/$B$44*_xlfn.XLOOKUP(A26,fuel[year],fuel[value]))</f>
        <v/>
      </c>
      <c r="U26" s="10"/>
      <c r="V26" s="10"/>
      <c r="W26" s="10"/>
      <c r="X26" s="10"/>
      <c r="Y26" s="10"/>
    </row>
    <row r="27" spans="1:26" x14ac:dyDescent="0.45">
      <c r="D27" s="22"/>
      <c r="E27" s="56"/>
      <c r="F27" s="22"/>
      <c r="G27" s="22"/>
      <c r="K27"/>
      <c r="N27" s="11" t="str">
        <f>IF(ISBLANK(A27),"",M27/$B$44*_xlfn.XLOOKUP(A27,fuel[year],fuel[value]))</f>
        <v/>
      </c>
      <c r="U27" s="10"/>
      <c r="V27" s="10"/>
      <c r="W27" s="10"/>
      <c r="X27" s="10"/>
      <c r="Y27" s="10"/>
    </row>
    <row r="28" spans="1:26" x14ac:dyDescent="0.45">
      <c r="D28" s="22"/>
      <c r="E28" s="56"/>
      <c r="F28" s="22"/>
      <c r="G28" s="22"/>
      <c r="K28"/>
      <c r="N28" s="11" t="str">
        <f>IF(ISBLANK(A28),"",M28/$B$44*_xlfn.XLOOKUP(A28,fuel[year],fuel[value]))</f>
        <v/>
      </c>
      <c r="U28" s="10"/>
      <c r="V28" s="10"/>
      <c r="W28" s="10"/>
      <c r="X28" s="10"/>
      <c r="Y28" s="10"/>
    </row>
    <row r="29" spans="1:26" x14ac:dyDescent="0.45">
      <c r="D29" s="22"/>
      <c r="E29" s="56"/>
      <c r="F29" s="22"/>
      <c r="G29" s="22"/>
      <c r="K29"/>
      <c r="N29" s="11" t="str">
        <f>IF(ISBLANK(A29),"",M29/$B$44*_xlfn.XLOOKUP(A29,fuel[year],fuel[value]))</f>
        <v/>
      </c>
      <c r="U29" s="10"/>
      <c r="V29" s="10"/>
      <c r="W29" s="10"/>
      <c r="X29" s="10"/>
      <c r="Y29" s="10"/>
    </row>
    <row r="30" spans="1:26" x14ac:dyDescent="0.45">
      <c r="D30" s="22"/>
      <c r="E30" s="56"/>
      <c r="F30" s="22"/>
      <c r="G30" s="22"/>
      <c r="K30"/>
      <c r="N30" s="11" t="str">
        <f>IF(ISBLANK(A30),"",M30/$B$44*_xlfn.XLOOKUP(A30,fuel[year],fuel[value]))</f>
        <v/>
      </c>
      <c r="V30" s="10"/>
      <c r="W30" s="10"/>
      <c r="X30" s="10"/>
      <c r="Y30" s="10"/>
    </row>
    <row r="31" spans="1:26" x14ac:dyDescent="0.45">
      <c r="G31"/>
      <c r="K31"/>
      <c r="N31" s="11" t="str">
        <f>IF(ISBLANK(A31),"",M31/$B$44*_xlfn.XLOOKUP(A31,fuel[year],fuel[value]))</f>
        <v/>
      </c>
    </row>
    <row r="32" spans="1:26" x14ac:dyDescent="0.45">
      <c r="G32"/>
      <c r="K32"/>
      <c r="N32" s="11" t="str">
        <f>IF(ISBLANK(A32),"",M32/$B$44*_xlfn.XLOOKUP(A32,fuel[year],fuel[value]))</f>
        <v/>
      </c>
    </row>
    <row r="33" spans="1:14" x14ac:dyDescent="0.45">
      <c r="G33"/>
      <c r="K33"/>
      <c r="N33" s="11" t="str">
        <f>IF(ISBLANK(A33),"",M33/$B$44*_xlfn.XLOOKUP(A33,fuel[year],fuel[value]))</f>
        <v/>
      </c>
    </row>
    <row r="39" spans="1:14" x14ac:dyDescent="0.45">
      <c r="A39" t="s">
        <v>182</v>
      </c>
      <c r="B39" s="12">
        <f>DATEDIF(F2,B40,"y")+1</f>
        <v>9</v>
      </c>
      <c r="C39" s="12"/>
    </row>
    <row r="40" spans="1:14" x14ac:dyDescent="0.45">
      <c r="A40" t="s">
        <v>183</v>
      </c>
      <c r="B40" s="9">
        <f>_xlfn.MAXIFS(data[date],data[vehicle_name],$B$2,data[date],"&lt;&gt;0")</f>
        <v>43782</v>
      </c>
      <c r="C40" s="9"/>
    </row>
    <row r="41" spans="1:14" x14ac:dyDescent="0.45">
      <c r="A41" t="s">
        <v>184</v>
      </c>
      <c r="B41" s="11">
        <f>VLOOKUP($B$2,upfront[],2,FALSE)</f>
        <v>27820</v>
      </c>
      <c r="C41" s="11"/>
    </row>
    <row r="42" spans="1:14" x14ac:dyDescent="0.45">
      <c r="A42" t="s">
        <v>185</v>
      </c>
      <c r="B42" s="11">
        <f>VLOOKUP($B$2,upfront[],3,FALSE)</f>
        <v>7000</v>
      </c>
      <c r="C42" s="11"/>
    </row>
    <row r="43" spans="1:14" x14ac:dyDescent="0.45">
      <c r="A43" t="s">
        <v>186</v>
      </c>
      <c r="B43" s="18">
        <f>VLOOKUP($B$2,upfront[],4,FALSE)</f>
        <v>13560</v>
      </c>
      <c r="C43" s="11"/>
    </row>
    <row r="44" spans="1:14" x14ac:dyDescent="0.45">
      <c r="A44" s="14" t="s">
        <v>187</v>
      </c>
      <c r="B44" s="19">
        <f>VLOOKUP(B2,fleetio[],67,FALSE)</f>
        <v>13</v>
      </c>
      <c r="C44" s="19"/>
    </row>
  </sheetData>
  <dataValidations count="3">
    <dataValidation type="list" allowBlank="1" showInputMessage="1" showErrorMessage="1" sqref="B1:C1" xr:uid="{A86EA3A9-6CDF-43D8-B9AF-419388C014B1}">
      <formula1>location_name</formula1>
    </dataValidation>
    <dataValidation type="list" allowBlank="1" showInputMessage="1" showErrorMessage="1" sqref="C2" xr:uid="{B437EC87-A33E-4769-8BDD-A30DA506E219}">
      <formula1>INDIRECT($P$24)</formula1>
    </dataValidation>
    <dataValidation type="list" allowBlank="1" showInputMessage="1" showErrorMessage="1" sqref="B2" xr:uid="{1CBA532F-73B4-42E2-B7F7-B47B569622B3}">
      <formula1>INDIRECT(D22)</formula1>
    </dataValidation>
  </dataValidations>
  <pageMargins left="0.7" right="0.7" top="0.75" bottom="0.75" header="0.3" footer="0.3"/>
  <pageSetup scale="50" fitToHeight="0" orientation="landscape" horizontalDpi="0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80FD-46C4-45B1-AA27-B4B9735037DA}">
  <sheetPr>
    <tabColor theme="7" tint="-0.249977111117893"/>
  </sheetPr>
  <dimension ref="A1:X278"/>
  <sheetViews>
    <sheetView workbookViewId="0">
      <selection activeCell="C265" sqref="C265"/>
    </sheetView>
  </sheetViews>
  <sheetFormatPr defaultRowHeight="14.25" outlineLevelCol="1" x14ac:dyDescent="0.45"/>
  <cols>
    <col min="3" max="3" width="18" customWidth="1"/>
    <col min="4" max="4" width="8.1328125" customWidth="1" outlineLevel="1"/>
    <col min="5" max="5" width="12.1328125" customWidth="1" outlineLevel="1"/>
    <col min="6" max="6" width="8.1328125" customWidth="1" outlineLevel="1"/>
    <col min="7" max="8" width="12.1328125" customWidth="1" outlineLevel="1"/>
    <col min="9" max="9" width="9.1328125" customWidth="1" outlineLevel="1"/>
    <col min="10" max="11" width="12.1328125" customWidth="1" outlineLevel="1"/>
    <col min="12" max="12" width="10" customWidth="1" outlineLevel="1"/>
    <col min="13" max="13" width="7.59765625" customWidth="1" outlineLevel="1"/>
    <col min="14" max="17" width="9.1328125" customWidth="1" outlineLevel="1"/>
    <col min="18" max="18" width="12.86328125" customWidth="1" outlineLevel="1"/>
    <col min="19" max="20" width="12.1328125" customWidth="1" outlineLevel="1"/>
    <col min="21" max="21" width="10.1328125" bestFit="1" customWidth="1"/>
    <col min="22" max="22" width="10.1328125" customWidth="1"/>
    <col min="23" max="23" width="12.6640625" style="31" bestFit="1" customWidth="1"/>
  </cols>
  <sheetData>
    <row r="1" spans="1:24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 ht="71.25" x14ac:dyDescent="0.45">
      <c r="A2" t="s">
        <v>188</v>
      </c>
      <c r="B2" s="67" t="s">
        <v>158</v>
      </c>
      <c r="C2" s="62" t="s">
        <v>159</v>
      </c>
      <c r="D2" s="68" t="s">
        <v>160</v>
      </c>
      <c r="E2" s="69" t="s">
        <v>161</v>
      </c>
      <c r="F2" s="70" t="s">
        <v>162</v>
      </c>
      <c r="G2" s="71" t="s">
        <v>163</v>
      </c>
      <c r="H2" s="72" t="s">
        <v>164</v>
      </c>
      <c r="I2" s="62" t="s">
        <v>165</v>
      </c>
      <c r="J2" s="67" t="s">
        <v>166</v>
      </c>
      <c r="K2" s="73" t="s">
        <v>167</v>
      </c>
      <c r="L2" s="74" t="s">
        <v>168</v>
      </c>
      <c r="M2" s="74" t="s">
        <v>169</v>
      </c>
      <c r="N2" s="78" t="s">
        <v>170</v>
      </c>
      <c r="O2" s="79" t="s">
        <v>171</v>
      </c>
      <c r="P2" s="80" t="s">
        <v>94</v>
      </c>
      <c r="Q2" s="79" t="s">
        <v>172</v>
      </c>
      <c r="R2" s="80" t="s">
        <v>95</v>
      </c>
      <c r="S2" s="62" t="s">
        <v>173</v>
      </c>
      <c r="T2" s="75" t="s">
        <v>174</v>
      </c>
      <c r="U2" s="76" t="s">
        <v>175</v>
      </c>
      <c r="V2" s="77" t="s">
        <v>176</v>
      </c>
      <c r="W2" s="31" t="s">
        <v>72</v>
      </c>
      <c r="X2" t="s">
        <v>189</v>
      </c>
    </row>
    <row r="3" spans="1:24" x14ac:dyDescent="0.45">
      <c r="A3" t="s">
        <v>99</v>
      </c>
      <c r="B3">
        <v>1</v>
      </c>
      <c r="C3">
        <v>39934.400000000001</v>
      </c>
      <c r="D3">
        <v>23655</v>
      </c>
      <c r="E3">
        <v>0.28740646797717184</v>
      </c>
      <c r="F3">
        <v>5.2842950750369898E-2</v>
      </c>
      <c r="G3">
        <v>0.13444444444444445</v>
      </c>
      <c r="H3">
        <v>0.47469386317198614</v>
      </c>
      <c r="I3">
        <v>35504.116666666669</v>
      </c>
      <c r="J3">
        <v>41857</v>
      </c>
      <c r="K3">
        <v>42221</v>
      </c>
      <c r="L3">
        <v>0</v>
      </c>
      <c r="M3">
        <v>23655</v>
      </c>
      <c r="N3">
        <v>23655</v>
      </c>
      <c r="O3">
        <v>3180.2833333333333</v>
      </c>
      <c r="P3">
        <v>3180.2833333333333</v>
      </c>
      <c r="Q3">
        <v>1250</v>
      </c>
      <c r="R3">
        <v>1250</v>
      </c>
      <c r="S3">
        <v>4430.2833333333328</v>
      </c>
      <c r="T3">
        <v>6798.6</v>
      </c>
      <c r="U3">
        <v>6798.6</v>
      </c>
      <c r="V3">
        <v>35504.116666666669</v>
      </c>
      <c r="W3" s="31" t="str">
        <f>VLOOKUP(vehicle_data[[#This Row],[Vehicle]],upfront[],6,FALSE)</f>
        <v>Austin</v>
      </c>
      <c r="X3">
        <v>5</v>
      </c>
    </row>
    <row r="4" spans="1:24" x14ac:dyDescent="0.45">
      <c r="A4" t="s">
        <v>99</v>
      </c>
      <c r="B4">
        <v>2</v>
      </c>
      <c r="C4">
        <v>33135.800000000003</v>
      </c>
      <c r="D4">
        <v>41096</v>
      </c>
      <c r="E4">
        <v>0.33086431769515284</v>
      </c>
      <c r="F4">
        <v>3.9541561222503407E-2</v>
      </c>
      <c r="G4">
        <v>0.1431681509960418</v>
      </c>
      <c r="H4">
        <v>0.51357402991369805</v>
      </c>
      <c r="I4">
        <v>25627.16166666667</v>
      </c>
      <c r="J4">
        <v>42222</v>
      </c>
      <c r="K4">
        <v>42586</v>
      </c>
      <c r="L4">
        <v>23655</v>
      </c>
      <c r="M4">
        <v>41096</v>
      </c>
      <c r="N4">
        <v>17441</v>
      </c>
      <c r="O4">
        <v>2703.355</v>
      </c>
      <c r="P4">
        <v>5883.6383333333333</v>
      </c>
      <c r="Q4">
        <v>375</v>
      </c>
      <c r="R4">
        <v>1625</v>
      </c>
      <c r="S4">
        <v>7508.6383333333333</v>
      </c>
      <c r="T4">
        <v>6798.6</v>
      </c>
      <c r="U4">
        <v>13597.2</v>
      </c>
      <c r="V4">
        <v>25627.16166666667</v>
      </c>
      <c r="W4" s="31" t="str">
        <f>VLOOKUP(vehicle_data[[#This Row],[Vehicle]],upfront[],6,FALSE)</f>
        <v>Austin</v>
      </c>
    </row>
    <row r="5" spans="1:24" x14ac:dyDescent="0.45">
      <c r="A5" t="s">
        <v>99</v>
      </c>
      <c r="B5">
        <v>3</v>
      </c>
      <c r="C5">
        <v>26337.200000000004</v>
      </c>
      <c r="D5">
        <v>87778</v>
      </c>
      <c r="E5">
        <v>0.23235662694524828</v>
      </c>
      <c r="F5">
        <v>3.1638223700699492E-2</v>
      </c>
      <c r="G5">
        <v>0.14384690798251143</v>
      </c>
      <c r="H5">
        <v>0.40784175862845917</v>
      </c>
      <c r="I5">
        <v>10933.466111111116</v>
      </c>
      <c r="J5">
        <v>42587</v>
      </c>
      <c r="K5">
        <v>42951</v>
      </c>
      <c r="L5">
        <v>41096</v>
      </c>
      <c r="M5">
        <v>87778</v>
      </c>
      <c r="N5">
        <v>46682</v>
      </c>
      <c r="O5">
        <v>6742.9555555555553</v>
      </c>
      <c r="P5">
        <v>12626.593888888889</v>
      </c>
      <c r="Q5">
        <v>1152.1399999999999</v>
      </c>
      <c r="R5">
        <v>2777.14</v>
      </c>
      <c r="S5">
        <v>15403.733888888888</v>
      </c>
      <c r="T5">
        <v>6798.6</v>
      </c>
      <c r="U5">
        <v>20395.800000000003</v>
      </c>
      <c r="V5">
        <v>10933.466111111116</v>
      </c>
      <c r="W5" s="31" t="str">
        <f>VLOOKUP(vehicle_data[[#This Row],[Vehicle]],upfront[],6,FALSE)</f>
        <v>Austin</v>
      </c>
    </row>
    <row r="6" spans="1:24" x14ac:dyDescent="0.45">
      <c r="A6" t="s">
        <v>99</v>
      </c>
      <c r="B6">
        <v>4</v>
      </c>
      <c r="C6">
        <v>19538.600000000006</v>
      </c>
      <c r="D6">
        <v>106904</v>
      </c>
      <c r="E6">
        <v>0.2543815011599192</v>
      </c>
      <c r="F6">
        <v>3.0234041757090473E-2</v>
      </c>
      <c r="G6">
        <v>0.13958050109340053</v>
      </c>
      <c r="H6">
        <v>0.42419604401041022</v>
      </c>
      <c r="I6">
        <v>1384.7461111111152</v>
      </c>
      <c r="J6">
        <v>42952</v>
      </c>
      <c r="K6">
        <v>43316</v>
      </c>
      <c r="L6">
        <v>87778</v>
      </c>
      <c r="M6">
        <v>106904</v>
      </c>
      <c r="N6">
        <v>19126</v>
      </c>
      <c r="O6">
        <v>2295.1200000000003</v>
      </c>
      <c r="P6">
        <v>14921.713888888889</v>
      </c>
      <c r="Q6">
        <v>455</v>
      </c>
      <c r="R6">
        <v>3232.14</v>
      </c>
      <c r="S6">
        <v>18153.853888888891</v>
      </c>
      <c r="T6">
        <v>6798.6</v>
      </c>
      <c r="U6">
        <v>27194.400000000001</v>
      </c>
      <c r="V6">
        <v>1384.7461111111152</v>
      </c>
      <c r="W6" s="31" t="str">
        <f>VLOOKUP(vehicle_data[[#This Row],[Vehicle]],upfront[],6,FALSE)</f>
        <v>Austin</v>
      </c>
    </row>
    <row r="7" spans="1:24" x14ac:dyDescent="0.45">
      <c r="A7" t="s">
        <v>99</v>
      </c>
      <c r="B7">
        <v>5</v>
      </c>
      <c r="C7">
        <v>12740.000000000005</v>
      </c>
      <c r="D7">
        <v>145526.5</v>
      </c>
      <c r="E7">
        <v>0.23358632276595673</v>
      </c>
      <c r="F7">
        <v>6.3489123973984124E-2</v>
      </c>
      <c r="G7">
        <v>0.1393969483221269</v>
      </c>
      <c r="H7">
        <v>0.43647239506206775</v>
      </c>
      <c r="I7">
        <v>-16785.299999999996</v>
      </c>
      <c r="J7">
        <v>43317</v>
      </c>
      <c r="K7">
        <v>43681</v>
      </c>
      <c r="L7">
        <v>106904</v>
      </c>
      <c r="M7">
        <v>145526.5</v>
      </c>
      <c r="N7">
        <v>38622.5</v>
      </c>
      <c r="O7">
        <v>5364.2361111111113</v>
      </c>
      <c r="P7">
        <v>20285.95</v>
      </c>
      <c r="Q7">
        <v>6007.21</v>
      </c>
      <c r="R7">
        <v>9239.35</v>
      </c>
      <c r="S7">
        <v>29525.300000000003</v>
      </c>
      <c r="T7">
        <v>6798.6</v>
      </c>
      <c r="U7">
        <v>33993</v>
      </c>
      <c r="V7">
        <v>-16785.299999999996</v>
      </c>
      <c r="W7" s="31" t="str">
        <f>VLOOKUP(vehicle_data[[#This Row],[Vehicle]],upfront[],6,FALSE)</f>
        <v>Austin</v>
      </c>
    </row>
    <row r="8" spans="1:24" x14ac:dyDescent="0.45">
      <c r="A8" t="s">
        <v>99</v>
      </c>
      <c r="B8">
        <v>6</v>
      </c>
      <c r="C8">
        <v>12740.000000000005</v>
      </c>
      <c r="D8">
        <v>168543</v>
      </c>
      <c r="E8">
        <v>0.20168740321460993</v>
      </c>
      <c r="F8">
        <v>7.1430673477984846E-2</v>
      </c>
      <c r="G8">
        <v>0.13932756691830042</v>
      </c>
      <c r="H8">
        <v>0.4124456436108952</v>
      </c>
      <c r="I8">
        <v>-22781.826111111099</v>
      </c>
      <c r="J8">
        <v>43682</v>
      </c>
      <c r="K8">
        <v>44046</v>
      </c>
      <c r="L8">
        <v>145526.5</v>
      </c>
      <c r="M8">
        <v>168543</v>
      </c>
      <c r="N8">
        <v>23016.5</v>
      </c>
      <c r="O8">
        <v>3196.7361111111109</v>
      </c>
      <c r="P8">
        <v>23482.68611111111</v>
      </c>
      <c r="Q8">
        <v>2799.79</v>
      </c>
      <c r="R8">
        <v>12039.14</v>
      </c>
      <c r="S8">
        <v>35521.826111111106</v>
      </c>
      <c r="T8">
        <v>0</v>
      </c>
      <c r="U8">
        <v>33993</v>
      </c>
      <c r="V8">
        <v>-22781.826111111099</v>
      </c>
      <c r="W8" s="31" t="str">
        <f>VLOOKUP(vehicle_data[[#This Row],[Vehicle]],upfront[],6,FALSE)</f>
        <v>Austin</v>
      </c>
    </row>
    <row r="9" spans="1:24" x14ac:dyDescent="0.45">
      <c r="A9" t="s">
        <v>99</v>
      </c>
      <c r="B9">
        <v>7</v>
      </c>
      <c r="C9">
        <v>12740.000000000005</v>
      </c>
      <c r="D9">
        <v>174976</v>
      </c>
      <c r="E9">
        <v>0.1942723573518654</v>
      </c>
      <c r="F9">
        <v>6.9248754114850028E-2</v>
      </c>
      <c r="G9">
        <v>0.14033269007051125</v>
      </c>
      <c r="H9">
        <v>0.40385380153722666</v>
      </c>
      <c r="I9">
        <v>-23931.722777777766</v>
      </c>
      <c r="J9">
        <v>44047</v>
      </c>
      <c r="K9">
        <v>44411</v>
      </c>
      <c r="L9">
        <v>168543</v>
      </c>
      <c r="M9">
        <v>174976</v>
      </c>
      <c r="N9">
        <v>6433</v>
      </c>
      <c r="O9">
        <v>1072.1666666666667</v>
      </c>
      <c r="P9">
        <v>24554.852777777778</v>
      </c>
      <c r="Q9">
        <v>77.73</v>
      </c>
      <c r="R9">
        <v>12116.869999999999</v>
      </c>
      <c r="S9">
        <v>36671.722777777773</v>
      </c>
      <c r="T9">
        <v>0</v>
      </c>
      <c r="U9">
        <v>33993</v>
      </c>
      <c r="V9">
        <v>-23931.722777777766</v>
      </c>
      <c r="W9" s="31" t="str">
        <f>VLOOKUP(vehicle_data[[#This Row],[Vehicle]],upfront[],6,FALSE)</f>
        <v>Austin</v>
      </c>
    </row>
    <row r="10" spans="1:24" x14ac:dyDescent="0.45">
      <c r="A10" t="s">
        <v>100</v>
      </c>
      <c r="B10">
        <v>1</v>
      </c>
      <c r="C10">
        <v>38300.800000000003</v>
      </c>
      <c r="D10">
        <v>42401</v>
      </c>
      <c r="E10">
        <v>0.16686398905686187</v>
      </c>
      <c r="F10">
        <v>1.2263861701374968E-2</v>
      </c>
      <c r="G10">
        <v>0.15500000000000003</v>
      </c>
      <c r="H10">
        <v>0.33412785075823687</v>
      </c>
      <c r="I10">
        <v>31208.645000000004</v>
      </c>
      <c r="J10">
        <v>42005</v>
      </c>
      <c r="K10">
        <v>42369</v>
      </c>
      <c r="L10">
        <v>0</v>
      </c>
      <c r="M10">
        <v>42401</v>
      </c>
      <c r="N10">
        <v>42401</v>
      </c>
      <c r="O10">
        <v>6572.1550000000007</v>
      </c>
      <c r="P10">
        <v>6572.1550000000007</v>
      </c>
      <c r="Q10">
        <v>520</v>
      </c>
      <c r="R10">
        <v>520</v>
      </c>
      <c r="S10">
        <v>7092.1550000000007</v>
      </c>
      <c r="T10">
        <v>7075.2</v>
      </c>
      <c r="U10">
        <v>7075.2</v>
      </c>
      <c r="V10">
        <v>31208.645000000004</v>
      </c>
      <c r="W10" s="31" t="str">
        <f>VLOOKUP(vehicle_data[[#This Row],[Vehicle]],upfront[],6,FALSE)</f>
        <v>Austin</v>
      </c>
      <c r="X10">
        <v>4</v>
      </c>
    </row>
    <row r="11" spans="1:24" x14ac:dyDescent="0.45">
      <c r="A11" t="s">
        <v>100</v>
      </c>
      <c r="B11">
        <v>2</v>
      </c>
      <c r="C11">
        <v>31225.600000000002</v>
      </c>
      <c r="D11">
        <v>80000</v>
      </c>
      <c r="E11">
        <v>0.17687999999999998</v>
      </c>
      <c r="F11">
        <v>1.55625E-2</v>
      </c>
      <c r="G11">
        <v>0.15003902083333334</v>
      </c>
      <c r="H11">
        <v>0.34248152083333333</v>
      </c>
      <c r="I11">
        <v>17977.478333333333</v>
      </c>
      <c r="J11">
        <v>42370</v>
      </c>
      <c r="K11">
        <v>42734</v>
      </c>
      <c r="L11">
        <v>42401</v>
      </c>
      <c r="M11">
        <v>80000</v>
      </c>
      <c r="N11">
        <v>37599</v>
      </c>
      <c r="O11">
        <v>5430.9666666666672</v>
      </c>
      <c r="P11">
        <v>12003.121666666668</v>
      </c>
      <c r="Q11">
        <v>725</v>
      </c>
      <c r="R11">
        <v>1245</v>
      </c>
      <c r="S11">
        <v>13248.121666666668</v>
      </c>
      <c r="T11">
        <v>7075.2</v>
      </c>
      <c r="U11">
        <v>14150.4</v>
      </c>
      <c r="V11">
        <v>17977.478333333333</v>
      </c>
      <c r="W11" s="31" t="str">
        <f>VLOOKUP(vehicle_data[[#This Row],[Vehicle]],upfront[],6,FALSE)</f>
        <v>Austin</v>
      </c>
    </row>
    <row r="12" spans="1:24" x14ac:dyDescent="0.45">
      <c r="A12" t="s">
        <v>100</v>
      </c>
      <c r="B12">
        <v>3</v>
      </c>
      <c r="C12">
        <v>24150.400000000001</v>
      </c>
      <c r="D12">
        <v>90000</v>
      </c>
      <c r="E12">
        <v>0.23583999999999999</v>
      </c>
      <c r="F12">
        <v>1.5222222222222222E-2</v>
      </c>
      <c r="G12">
        <v>0.14941740123456793</v>
      </c>
      <c r="H12">
        <v>0.40047962345679017</v>
      </c>
      <c r="I12">
        <v>9332.8338888888884</v>
      </c>
      <c r="J12">
        <v>42735</v>
      </c>
      <c r="K12">
        <v>43099</v>
      </c>
      <c r="L12">
        <v>80000</v>
      </c>
      <c r="M12">
        <v>90000</v>
      </c>
      <c r="N12">
        <v>10000</v>
      </c>
      <c r="O12">
        <v>1444.4444444444446</v>
      </c>
      <c r="P12">
        <v>13447.566111111113</v>
      </c>
      <c r="Q12">
        <v>125</v>
      </c>
      <c r="R12">
        <v>1370</v>
      </c>
      <c r="S12">
        <v>14817.566111111113</v>
      </c>
      <c r="T12">
        <v>7075.2</v>
      </c>
      <c r="U12">
        <v>21225.599999999999</v>
      </c>
      <c r="V12">
        <v>9332.8338888888884</v>
      </c>
      <c r="W12" s="31" t="str">
        <f>VLOOKUP(vehicle_data[[#This Row],[Vehicle]],upfront[],6,FALSE)</f>
        <v>Austin</v>
      </c>
    </row>
    <row r="13" spans="1:24" x14ac:dyDescent="0.45">
      <c r="A13" t="s">
        <v>100</v>
      </c>
      <c r="B13">
        <v>4</v>
      </c>
      <c r="C13">
        <v>17075.2</v>
      </c>
      <c r="D13">
        <v>129066</v>
      </c>
      <c r="E13">
        <v>0.21927385988563991</v>
      </c>
      <c r="F13">
        <v>2.0105682364061798E-2</v>
      </c>
      <c r="G13">
        <v>0.14051327314018497</v>
      </c>
      <c r="H13">
        <v>0.37989281538988667</v>
      </c>
      <c r="I13">
        <v>-3655.2461111111115</v>
      </c>
      <c r="J13">
        <v>43100</v>
      </c>
      <c r="K13">
        <v>43464</v>
      </c>
      <c r="L13">
        <v>90000</v>
      </c>
      <c r="M13">
        <v>129066</v>
      </c>
      <c r="N13">
        <v>39066</v>
      </c>
      <c r="O13">
        <v>4687.920000000001</v>
      </c>
      <c r="P13">
        <v>18135.486111111113</v>
      </c>
      <c r="Q13">
        <v>1224.96</v>
      </c>
      <c r="R13">
        <v>2594.96</v>
      </c>
      <c r="S13">
        <v>20730.446111111112</v>
      </c>
      <c r="T13">
        <v>7075.2</v>
      </c>
      <c r="U13">
        <v>28300.799999999999</v>
      </c>
      <c r="V13">
        <v>-3655.2461111111115</v>
      </c>
      <c r="W13" s="31" t="str">
        <f>VLOOKUP(vehicle_data[[#This Row],[Vehicle]],upfront[],6,FALSE)</f>
        <v>Austin</v>
      </c>
    </row>
    <row r="14" spans="1:24" x14ac:dyDescent="0.45">
      <c r="A14" t="s">
        <v>100</v>
      </c>
      <c r="B14">
        <v>5</v>
      </c>
      <c r="C14">
        <v>10000</v>
      </c>
      <c r="D14">
        <v>158766</v>
      </c>
      <c r="E14">
        <v>0.22281848758550318</v>
      </c>
      <c r="F14">
        <v>1.8826448987818552E-2</v>
      </c>
      <c r="G14">
        <v>0.14020940321675368</v>
      </c>
      <c r="H14">
        <v>0.38185433979007544</v>
      </c>
      <c r="I14">
        <v>-15249.486111111113</v>
      </c>
      <c r="J14">
        <v>43465</v>
      </c>
      <c r="K14">
        <v>43829</v>
      </c>
      <c r="L14">
        <v>129066</v>
      </c>
      <c r="M14">
        <v>158766</v>
      </c>
      <c r="N14">
        <v>29700</v>
      </c>
      <c r="O14">
        <v>4125</v>
      </c>
      <c r="P14">
        <v>22260.486111111113</v>
      </c>
      <c r="Q14">
        <v>394.03999999999996</v>
      </c>
      <c r="R14">
        <v>2989</v>
      </c>
      <c r="S14">
        <v>25249.486111111113</v>
      </c>
      <c r="T14">
        <v>7075.2</v>
      </c>
      <c r="U14">
        <v>35376</v>
      </c>
      <c r="V14">
        <v>-15249.486111111113</v>
      </c>
      <c r="W14" s="31" t="str">
        <f>VLOOKUP(vehicle_data[[#This Row],[Vehicle]],upfront[],6,FALSE)</f>
        <v>Austin</v>
      </c>
    </row>
    <row r="15" spans="1:24" x14ac:dyDescent="0.45">
      <c r="A15" t="s">
        <v>100</v>
      </c>
      <c r="B15">
        <v>6</v>
      </c>
      <c r="C15">
        <v>10000</v>
      </c>
      <c r="D15">
        <v>171875</v>
      </c>
      <c r="E15">
        <v>0.20582400000000001</v>
      </c>
      <c r="F15">
        <v>4.7669934545454547E-2</v>
      </c>
      <c r="G15">
        <v>0.14010868686868688</v>
      </c>
      <c r="H15">
        <v>0.39360262141414143</v>
      </c>
      <c r="I15">
        <v>-22274.450555555559</v>
      </c>
      <c r="J15">
        <v>43830</v>
      </c>
      <c r="K15">
        <v>44194</v>
      </c>
      <c r="L15">
        <v>158766</v>
      </c>
      <c r="M15">
        <v>171875</v>
      </c>
      <c r="N15">
        <v>13109</v>
      </c>
      <c r="O15">
        <v>1820.6944444444446</v>
      </c>
      <c r="P15">
        <v>24081.180555555558</v>
      </c>
      <c r="Q15">
        <v>5204.2700000000004</v>
      </c>
      <c r="R15">
        <v>8193.27</v>
      </c>
      <c r="S15">
        <v>32274.450555555559</v>
      </c>
      <c r="T15">
        <v>0</v>
      </c>
      <c r="U15">
        <v>35376</v>
      </c>
      <c r="V15">
        <v>-22274.450555555559</v>
      </c>
      <c r="W15" s="31" t="str">
        <f>VLOOKUP(vehicle_data[[#This Row],[Vehicle]],upfront[],6,FALSE)</f>
        <v>Austin</v>
      </c>
    </row>
    <row r="16" spans="1:24" x14ac:dyDescent="0.45">
      <c r="A16" t="s">
        <v>100</v>
      </c>
      <c r="B16">
        <v>7</v>
      </c>
      <c r="C16">
        <v>10000</v>
      </c>
      <c r="D16">
        <v>175000</v>
      </c>
      <c r="E16">
        <v>0.20214857142857143</v>
      </c>
      <c r="F16">
        <v>4.7532971428571429E-2</v>
      </c>
      <c r="G16">
        <v>0.14058293650793652</v>
      </c>
      <c r="H16">
        <v>0.39026447936507935</v>
      </c>
      <c r="I16">
        <v>-22920.283888888895</v>
      </c>
      <c r="J16">
        <v>44195</v>
      </c>
      <c r="K16">
        <v>44559</v>
      </c>
      <c r="L16">
        <v>171875</v>
      </c>
      <c r="M16">
        <v>175000</v>
      </c>
      <c r="N16">
        <v>3125</v>
      </c>
      <c r="O16">
        <v>520.83333333333337</v>
      </c>
      <c r="P16">
        <v>24602.013888888891</v>
      </c>
      <c r="Q16">
        <v>125</v>
      </c>
      <c r="R16">
        <v>8318.27</v>
      </c>
      <c r="S16">
        <v>32920.283888888895</v>
      </c>
      <c r="T16">
        <v>0</v>
      </c>
      <c r="U16">
        <v>35376</v>
      </c>
      <c r="V16">
        <v>-22920.283888888895</v>
      </c>
      <c r="W16" s="31" t="str">
        <f>VLOOKUP(vehicle_data[[#This Row],[Vehicle]],upfront[],6,FALSE)</f>
        <v>Austin</v>
      </c>
    </row>
    <row r="17" spans="1:24" x14ac:dyDescent="0.45">
      <c r="A17" t="s">
        <v>101</v>
      </c>
      <c r="B17">
        <v>1</v>
      </c>
      <c r="C17">
        <v>35572</v>
      </c>
      <c r="D17">
        <v>44623</v>
      </c>
      <c r="E17">
        <v>0.14819711807812114</v>
      </c>
      <c r="F17">
        <v>4.5380185106335298E-2</v>
      </c>
      <c r="G17">
        <v>0.18692307692307691</v>
      </c>
      <c r="H17">
        <v>0.38050038010753334</v>
      </c>
      <c r="I17">
        <v>25205.93153846154</v>
      </c>
      <c r="J17">
        <v>41150</v>
      </c>
      <c r="K17">
        <v>41514</v>
      </c>
      <c r="L17">
        <v>0</v>
      </c>
      <c r="M17">
        <v>44623</v>
      </c>
      <c r="N17">
        <v>44623</v>
      </c>
      <c r="O17">
        <v>8341.0684615384616</v>
      </c>
      <c r="P17">
        <v>8341.0684615384616</v>
      </c>
      <c r="Q17">
        <v>2025</v>
      </c>
      <c r="R17">
        <v>2025</v>
      </c>
      <c r="S17">
        <v>10366.068461538462</v>
      </c>
      <c r="T17">
        <v>6613</v>
      </c>
      <c r="U17">
        <v>6613</v>
      </c>
      <c r="V17">
        <v>25205.93153846154</v>
      </c>
      <c r="W17" s="31" t="str">
        <f>VLOOKUP(vehicle_data[[#This Row],[Vehicle]],upfront[],6,FALSE)</f>
        <v>Austin</v>
      </c>
      <c r="X17">
        <v>4</v>
      </c>
    </row>
    <row r="18" spans="1:24" x14ac:dyDescent="0.45">
      <c r="A18" t="s">
        <v>101</v>
      </c>
      <c r="B18">
        <v>2</v>
      </c>
      <c r="C18">
        <v>28959</v>
      </c>
      <c r="D18">
        <v>69903</v>
      </c>
      <c r="E18">
        <v>0.18920504127147619</v>
      </c>
      <c r="F18">
        <v>4.2201336137218715E-2</v>
      </c>
      <c r="G18">
        <v>0.17885563401592758</v>
      </c>
      <c r="H18">
        <v>0.41026201142462249</v>
      </c>
      <c r="I18">
        <v>13506.454615384615</v>
      </c>
      <c r="J18">
        <v>41515</v>
      </c>
      <c r="K18">
        <v>41879</v>
      </c>
      <c r="L18">
        <v>44623</v>
      </c>
      <c r="M18">
        <v>69903</v>
      </c>
      <c r="N18">
        <v>25280</v>
      </c>
      <c r="O18">
        <v>4161.4769230769234</v>
      </c>
      <c r="P18">
        <v>12502.545384615385</v>
      </c>
      <c r="Q18">
        <v>925</v>
      </c>
      <c r="R18">
        <v>2950</v>
      </c>
      <c r="S18">
        <v>15452.545384615385</v>
      </c>
      <c r="T18">
        <v>6613</v>
      </c>
      <c r="U18">
        <v>13226</v>
      </c>
      <c r="V18">
        <v>13506.454615384615</v>
      </c>
      <c r="W18" s="31" t="str">
        <f>VLOOKUP(vehicle_data[[#This Row],[Vehicle]],upfront[],6,FALSE)</f>
        <v>Austin</v>
      </c>
    </row>
    <row r="19" spans="1:24" x14ac:dyDescent="0.45">
      <c r="A19" t="s">
        <v>101</v>
      </c>
      <c r="B19">
        <v>3</v>
      </c>
      <c r="C19">
        <v>22346</v>
      </c>
      <c r="D19">
        <v>90571</v>
      </c>
      <c r="E19">
        <v>0.21904362323481025</v>
      </c>
      <c r="F19">
        <v>4.1183160172682205E-2</v>
      </c>
      <c r="G19">
        <v>0.18052106167452139</v>
      </c>
      <c r="H19">
        <v>0.44074784508201381</v>
      </c>
      <c r="I19">
        <v>2266.0269230769227</v>
      </c>
      <c r="J19">
        <v>41880</v>
      </c>
      <c r="K19">
        <v>42244</v>
      </c>
      <c r="L19">
        <v>69903</v>
      </c>
      <c r="M19">
        <v>90571</v>
      </c>
      <c r="N19">
        <v>20668</v>
      </c>
      <c r="O19">
        <v>3847.4276923076923</v>
      </c>
      <c r="P19">
        <v>16349.973076923077</v>
      </c>
      <c r="Q19">
        <v>780</v>
      </c>
      <c r="R19">
        <v>3730</v>
      </c>
      <c r="S19">
        <v>20079.973076923077</v>
      </c>
      <c r="T19">
        <v>6613</v>
      </c>
      <c r="U19">
        <v>19839</v>
      </c>
      <c r="V19">
        <v>2266.0269230769227</v>
      </c>
      <c r="W19" s="31" t="str">
        <f>VLOOKUP(vehicle_data[[#This Row],[Vehicle]],upfront[],6,FALSE)</f>
        <v>Austin</v>
      </c>
    </row>
    <row r="20" spans="1:24" x14ac:dyDescent="0.45">
      <c r="A20" t="s">
        <v>101</v>
      </c>
      <c r="B20">
        <v>4</v>
      </c>
      <c r="C20">
        <v>15733</v>
      </c>
      <c r="D20">
        <v>94343</v>
      </c>
      <c r="E20">
        <v>0.2803811623543877</v>
      </c>
      <c r="F20">
        <v>4.0861537156969781E-2</v>
      </c>
      <c r="G20">
        <v>0.18188421300671284</v>
      </c>
      <c r="H20">
        <v>0.50312691251807029</v>
      </c>
      <c r="I20">
        <v>-5281.5023076923098</v>
      </c>
      <c r="J20">
        <v>42245</v>
      </c>
      <c r="K20">
        <v>42609</v>
      </c>
      <c r="L20">
        <v>90571</v>
      </c>
      <c r="M20">
        <v>94343</v>
      </c>
      <c r="N20">
        <v>3772</v>
      </c>
      <c r="O20">
        <v>809.52923076923071</v>
      </c>
      <c r="P20">
        <v>17159.50230769231</v>
      </c>
      <c r="Q20">
        <v>125</v>
      </c>
      <c r="R20">
        <v>3855</v>
      </c>
      <c r="S20">
        <v>21014.50230769231</v>
      </c>
      <c r="T20">
        <v>6613</v>
      </c>
      <c r="U20">
        <v>26452</v>
      </c>
      <c r="V20">
        <v>-5281.5023076923098</v>
      </c>
      <c r="W20" s="31" t="str">
        <f>VLOOKUP(vehicle_data[[#This Row],[Vehicle]],upfront[],6,FALSE)</f>
        <v>Austin</v>
      </c>
    </row>
    <row r="21" spans="1:24" x14ac:dyDescent="0.45">
      <c r="A21" t="s">
        <v>101</v>
      </c>
      <c r="B21">
        <v>5</v>
      </c>
      <c r="C21">
        <v>9120</v>
      </c>
      <c r="D21">
        <v>117606</v>
      </c>
      <c r="E21">
        <v>0.28115062156692688</v>
      </c>
      <c r="F21">
        <v>3.7523935853612911E-2</v>
      </c>
      <c r="G21">
        <v>0.18546759780701927</v>
      </c>
      <c r="H21">
        <v>0.50414215522755912</v>
      </c>
      <c r="I21">
        <v>-17105.142307692309</v>
      </c>
      <c r="J21">
        <v>42610</v>
      </c>
      <c r="K21">
        <v>42974</v>
      </c>
      <c r="L21">
        <v>94343</v>
      </c>
      <c r="M21">
        <v>117606</v>
      </c>
      <c r="N21">
        <v>23263</v>
      </c>
      <c r="O21">
        <v>4652.6000000000004</v>
      </c>
      <c r="P21">
        <v>21812.102307692308</v>
      </c>
      <c r="Q21">
        <v>558.04</v>
      </c>
      <c r="R21">
        <v>4413.04</v>
      </c>
      <c r="S21">
        <v>26225.142307692309</v>
      </c>
      <c r="T21">
        <v>6613</v>
      </c>
      <c r="U21">
        <v>33065</v>
      </c>
      <c r="V21">
        <v>-17105.142307692309</v>
      </c>
      <c r="W21" s="31" t="str">
        <f>VLOOKUP(vehicle_data[[#This Row],[Vehicle]],upfront[],6,FALSE)</f>
        <v>Austin</v>
      </c>
    </row>
    <row r="22" spans="1:24" x14ac:dyDescent="0.45">
      <c r="A22" t="s">
        <v>101</v>
      </c>
      <c r="B22">
        <v>6</v>
      </c>
      <c r="C22">
        <v>9120</v>
      </c>
      <c r="D22">
        <v>150196</v>
      </c>
      <c r="E22">
        <v>0.22014567631628007</v>
      </c>
      <c r="F22">
        <v>5.0708607419638334E-2</v>
      </c>
      <c r="G22">
        <v>0.18127683928897012</v>
      </c>
      <c r="H22">
        <v>0.45213112302488856</v>
      </c>
      <c r="I22">
        <v>-25723.286153846158</v>
      </c>
      <c r="J22">
        <v>42975</v>
      </c>
      <c r="K22">
        <v>43339</v>
      </c>
      <c r="L22">
        <v>117606</v>
      </c>
      <c r="M22">
        <v>150196</v>
      </c>
      <c r="N22">
        <v>32590</v>
      </c>
      <c r="O22">
        <v>5414.9538461538468</v>
      </c>
      <c r="P22">
        <v>27227.056153846155</v>
      </c>
      <c r="Q22">
        <v>3203.19</v>
      </c>
      <c r="R22">
        <v>7616.23</v>
      </c>
      <c r="S22">
        <v>34843.286153846158</v>
      </c>
      <c r="T22">
        <v>0</v>
      </c>
      <c r="U22">
        <v>33065</v>
      </c>
      <c r="V22">
        <v>-25723.286153846158</v>
      </c>
      <c r="W22" s="31" t="str">
        <f>VLOOKUP(vehicle_data[[#This Row],[Vehicle]],upfront[],6,FALSE)</f>
        <v>Austin</v>
      </c>
    </row>
    <row r="23" spans="1:24" x14ac:dyDescent="0.45">
      <c r="A23" t="s">
        <v>101</v>
      </c>
      <c r="B23">
        <v>7</v>
      </c>
      <c r="C23">
        <v>9120</v>
      </c>
      <c r="D23">
        <v>170808</v>
      </c>
      <c r="E23">
        <v>0.19357992599878227</v>
      </c>
      <c r="F23">
        <v>6.2797175776310249E-2</v>
      </c>
      <c r="G23">
        <v>0.18260797098316417</v>
      </c>
      <c r="H23">
        <v>0.43898507275825671</v>
      </c>
      <c r="I23">
        <v>-32797.162307692306</v>
      </c>
      <c r="J23">
        <v>43340</v>
      </c>
      <c r="K23">
        <v>43704</v>
      </c>
      <c r="L23">
        <v>150196</v>
      </c>
      <c r="M23">
        <v>170808</v>
      </c>
      <c r="N23">
        <v>20612</v>
      </c>
      <c r="O23">
        <v>3963.8461538461534</v>
      </c>
      <c r="P23">
        <v>31190.902307692308</v>
      </c>
      <c r="Q23">
        <v>3110.03</v>
      </c>
      <c r="R23">
        <v>10726.26</v>
      </c>
      <c r="S23">
        <v>41917.162307692306</v>
      </c>
      <c r="T23">
        <v>0</v>
      </c>
      <c r="U23">
        <v>33065</v>
      </c>
      <c r="V23">
        <v>-32797.162307692306</v>
      </c>
      <c r="W23" s="31" t="str">
        <f>VLOOKUP(vehicle_data[[#This Row],[Vehicle]],upfront[],6,FALSE)</f>
        <v>Austin</v>
      </c>
    </row>
    <row r="24" spans="1:24" x14ac:dyDescent="0.45">
      <c r="A24" t="s">
        <v>101</v>
      </c>
      <c r="B24">
        <v>8</v>
      </c>
      <c r="C24">
        <v>9120</v>
      </c>
      <c r="D24">
        <v>189261</v>
      </c>
      <c r="E24">
        <v>0.17470582951585376</v>
      </c>
      <c r="F24">
        <v>5.7851009980925815E-2</v>
      </c>
      <c r="G24">
        <v>0.18355369650295705</v>
      </c>
      <c r="H24">
        <v>0.41611053599973663</v>
      </c>
      <c r="I24">
        <v>-36568.496153846158</v>
      </c>
      <c r="J24">
        <v>43705</v>
      </c>
      <c r="K24">
        <v>44069</v>
      </c>
      <c r="L24">
        <v>170808</v>
      </c>
      <c r="M24">
        <v>189261</v>
      </c>
      <c r="N24">
        <v>18453</v>
      </c>
      <c r="O24">
        <v>3548.6538461538466</v>
      </c>
      <c r="P24">
        <v>34739.556153846155</v>
      </c>
      <c r="Q24">
        <v>222.68</v>
      </c>
      <c r="R24">
        <v>10948.94</v>
      </c>
      <c r="S24">
        <v>45688.496153846158</v>
      </c>
      <c r="T24">
        <v>0</v>
      </c>
      <c r="U24">
        <v>33065</v>
      </c>
      <c r="V24">
        <v>-36568.496153846158</v>
      </c>
      <c r="W24" s="31" t="str">
        <f>VLOOKUP(vehicle_data[[#This Row],[Vehicle]],upfront[],6,FALSE)</f>
        <v>Austin</v>
      </c>
    </row>
    <row r="25" spans="1:24" x14ac:dyDescent="0.45">
      <c r="A25" t="s">
        <v>102</v>
      </c>
      <c r="B25">
        <v>1</v>
      </c>
      <c r="C25">
        <v>39809.599999999999</v>
      </c>
      <c r="D25">
        <v>33285</v>
      </c>
      <c r="E25">
        <v>0.20797356166441339</v>
      </c>
      <c r="F25">
        <v>2.6888989034099444E-2</v>
      </c>
      <c r="G25">
        <v>0.155</v>
      </c>
      <c r="H25">
        <v>0.38986255069851283</v>
      </c>
      <c r="I25">
        <v>33755.424999999996</v>
      </c>
      <c r="J25">
        <v>42005</v>
      </c>
      <c r="K25">
        <v>42369</v>
      </c>
      <c r="L25">
        <v>0</v>
      </c>
      <c r="M25">
        <v>33285</v>
      </c>
      <c r="N25">
        <v>33285</v>
      </c>
      <c r="O25">
        <v>5159.1750000000002</v>
      </c>
      <c r="P25">
        <v>5159.1750000000002</v>
      </c>
      <c r="Q25">
        <v>895</v>
      </c>
      <c r="R25">
        <v>895</v>
      </c>
      <c r="S25">
        <v>6054.1750000000002</v>
      </c>
      <c r="T25">
        <v>6922.4</v>
      </c>
      <c r="U25">
        <v>6922.4</v>
      </c>
      <c r="V25">
        <v>33755.424999999996</v>
      </c>
      <c r="W25" s="31" t="str">
        <f>VLOOKUP(vehicle_data[[#This Row],[Vehicle]],upfront[],6,FALSE)</f>
        <v>Austin</v>
      </c>
      <c r="X25">
        <v>5</v>
      </c>
    </row>
    <row r="26" spans="1:24" x14ac:dyDescent="0.45">
      <c r="A26" t="s">
        <v>102</v>
      </c>
      <c r="B26">
        <v>2</v>
      </c>
      <c r="C26">
        <v>32887.199999999997</v>
      </c>
      <c r="D26">
        <v>43919</v>
      </c>
      <c r="E26">
        <v>0.3152348641817892</v>
      </c>
      <c r="F26">
        <v>2.6070721100207198E-2</v>
      </c>
      <c r="G26">
        <v>0.15244420916282755</v>
      </c>
      <c r="H26">
        <v>0.49374979444482392</v>
      </c>
      <c r="I26">
        <v>25047.002777777772</v>
      </c>
      <c r="J26">
        <v>42370</v>
      </c>
      <c r="K26">
        <v>42734</v>
      </c>
      <c r="L26">
        <v>33285</v>
      </c>
      <c r="M26">
        <v>43919</v>
      </c>
      <c r="N26">
        <v>10634</v>
      </c>
      <c r="O26">
        <v>1536.0222222222224</v>
      </c>
      <c r="P26">
        <v>6695.197222222223</v>
      </c>
      <c r="Q26">
        <v>250</v>
      </c>
      <c r="R26">
        <v>1145</v>
      </c>
      <c r="S26">
        <v>7840.197222222223</v>
      </c>
      <c r="T26">
        <v>6922.4</v>
      </c>
      <c r="U26">
        <v>13844.8</v>
      </c>
      <c r="V26">
        <v>25047.002777777772</v>
      </c>
      <c r="W26" s="31" t="str">
        <f>VLOOKUP(vehicle_data[[#This Row],[Vehicle]],upfront[],6,FALSE)</f>
        <v>Austin</v>
      </c>
    </row>
    <row r="27" spans="1:24" x14ac:dyDescent="0.45">
      <c r="A27" t="s">
        <v>102</v>
      </c>
      <c r="B27">
        <v>3</v>
      </c>
      <c r="C27">
        <v>25964.799999999996</v>
      </c>
      <c r="D27">
        <v>74809</v>
      </c>
      <c r="E27">
        <v>0.27760296221042918</v>
      </c>
      <c r="F27">
        <v>2.2457190979694956E-2</v>
      </c>
      <c r="G27">
        <v>0.14914096046078829</v>
      </c>
      <c r="H27">
        <v>0.44920111365091242</v>
      </c>
      <c r="I27">
        <v>13127.713888888884</v>
      </c>
      <c r="J27">
        <v>42735</v>
      </c>
      <c r="K27">
        <v>43099</v>
      </c>
      <c r="L27">
        <v>43919</v>
      </c>
      <c r="M27">
        <v>74809</v>
      </c>
      <c r="N27">
        <v>30890</v>
      </c>
      <c r="O27">
        <v>4461.8888888888887</v>
      </c>
      <c r="P27">
        <v>11157.086111111112</v>
      </c>
      <c r="Q27">
        <v>535</v>
      </c>
      <c r="R27">
        <v>1680</v>
      </c>
      <c r="S27">
        <v>12837.086111111112</v>
      </c>
      <c r="T27">
        <v>6922.4</v>
      </c>
      <c r="U27">
        <v>20767.199999999997</v>
      </c>
      <c r="V27">
        <v>13127.713888888884</v>
      </c>
      <c r="W27" s="31" t="str">
        <f>VLOOKUP(vehicle_data[[#This Row],[Vehicle]],upfront[],6,FALSE)</f>
        <v>Austin</v>
      </c>
    </row>
    <row r="28" spans="1:24" x14ac:dyDescent="0.45">
      <c r="A28" t="s">
        <v>102</v>
      </c>
      <c r="B28">
        <v>4</v>
      </c>
      <c r="C28">
        <v>19042.399999999994</v>
      </c>
      <c r="D28">
        <v>87782</v>
      </c>
      <c r="E28">
        <v>0.31543596637123783</v>
      </c>
      <c r="F28">
        <v>3.9411040987901845E-2</v>
      </c>
      <c r="G28">
        <v>0.1448343180960916</v>
      </c>
      <c r="H28">
        <v>0.49968132545523125</v>
      </c>
      <c r="I28">
        <v>2868.9738888888824</v>
      </c>
      <c r="J28">
        <v>43100</v>
      </c>
      <c r="K28">
        <v>43464</v>
      </c>
      <c r="L28">
        <v>74809</v>
      </c>
      <c r="M28">
        <v>87782</v>
      </c>
      <c r="N28">
        <v>12973</v>
      </c>
      <c r="O28">
        <v>1556.76</v>
      </c>
      <c r="P28">
        <v>12713.846111111112</v>
      </c>
      <c r="Q28">
        <v>1779.58</v>
      </c>
      <c r="R28">
        <v>3459.58</v>
      </c>
      <c r="S28">
        <v>16173.426111111112</v>
      </c>
      <c r="T28">
        <v>6922.4</v>
      </c>
      <c r="U28">
        <v>27689.599999999999</v>
      </c>
      <c r="V28">
        <v>2868.9738888888824</v>
      </c>
      <c r="W28" s="31" t="str">
        <f>VLOOKUP(vehicle_data[[#This Row],[Vehicle]],upfront[],6,FALSE)</f>
        <v>Austin</v>
      </c>
    </row>
    <row r="29" spans="1:24" x14ac:dyDescent="0.45">
      <c r="A29" t="s">
        <v>102</v>
      </c>
      <c r="B29">
        <v>5</v>
      </c>
      <c r="C29">
        <v>12119.999999999995</v>
      </c>
      <c r="D29">
        <v>108417</v>
      </c>
      <c r="E29">
        <v>0.31924882629107981</v>
      </c>
      <c r="F29">
        <v>3.463654223968566E-2</v>
      </c>
      <c r="G29">
        <v>0.14370272497240594</v>
      </c>
      <c r="H29">
        <v>0.4975880935031714</v>
      </c>
      <c r="I29">
        <v>-7215.0083333333405</v>
      </c>
      <c r="J29">
        <v>43465</v>
      </c>
      <c r="K29">
        <v>43829</v>
      </c>
      <c r="L29">
        <v>87782</v>
      </c>
      <c r="M29">
        <v>108417</v>
      </c>
      <c r="N29">
        <v>20635</v>
      </c>
      <c r="O29">
        <v>2865.9722222222222</v>
      </c>
      <c r="P29">
        <v>15579.818333333335</v>
      </c>
      <c r="Q29">
        <v>295.60999999999996</v>
      </c>
      <c r="R29">
        <v>3755.19</v>
      </c>
      <c r="S29">
        <v>19335.008333333335</v>
      </c>
      <c r="T29">
        <v>6922.4</v>
      </c>
      <c r="U29">
        <v>34612</v>
      </c>
      <c r="V29">
        <v>-7215.0083333333405</v>
      </c>
      <c r="W29" s="31" t="str">
        <f>VLOOKUP(vehicle_data[[#This Row],[Vehicle]],upfront[],6,FALSE)</f>
        <v>Austin</v>
      </c>
    </row>
    <row r="30" spans="1:24" x14ac:dyDescent="0.45">
      <c r="A30" t="s">
        <v>102</v>
      </c>
      <c r="B30">
        <v>6</v>
      </c>
      <c r="C30">
        <v>12119.999999999995</v>
      </c>
      <c r="D30">
        <v>122157</v>
      </c>
      <c r="E30">
        <v>0.28334029159196772</v>
      </c>
      <c r="F30">
        <v>3.4179866892605423E-2</v>
      </c>
      <c r="G30">
        <v>0.14316127333404283</v>
      </c>
      <c r="H30">
        <v>0.46068143181861598</v>
      </c>
      <c r="I30">
        <v>-9543.4616666666752</v>
      </c>
      <c r="J30">
        <v>43830</v>
      </c>
      <c r="K30">
        <v>44194</v>
      </c>
      <c r="L30">
        <v>108417</v>
      </c>
      <c r="M30">
        <v>122157</v>
      </c>
      <c r="N30">
        <v>13740</v>
      </c>
      <c r="O30">
        <v>1908.3333333333335</v>
      </c>
      <c r="P30">
        <v>17488.151666666668</v>
      </c>
      <c r="Q30">
        <v>420.12</v>
      </c>
      <c r="R30">
        <v>4175.3100000000004</v>
      </c>
      <c r="S30">
        <v>21663.46166666667</v>
      </c>
      <c r="T30">
        <v>0</v>
      </c>
      <c r="U30">
        <v>34612</v>
      </c>
      <c r="V30">
        <v>-9543.4616666666752</v>
      </c>
      <c r="W30" s="31" t="str">
        <f>VLOOKUP(vehicle_data[[#This Row],[Vehicle]],upfront[],6,FALSE)</f>
        <v>Austin</v>
      </c>
    </row>
    <row r="31" spans="1:24" x14ac:dyDescent="0.45">
      <c r="A31" t="s">
        <v>103</v>
      </c>
      <c r="B31">
        <v>1</v>
      </c>
      <c r="C31">
        <v>35760</v>
      </c>
      <c r="D31">
        <v>44869</v>
      </c>
      <c r="E31">
        <v>0.14319463326572912</v>
      </c>
      <c r="F31">
        <v>1.0586373665559741E-2</v>
      </c>
      <c r="G31">
        <v>0.2146153846153846</v>
      </c>
      <c r="H31">
        <v>0.36839639154667347</v>
      </c>
      <c r="I31">
        <v>25655.422307692308</v>
      </c>
      <c r="J31">
        <v>42005</v>
      </c>
      <c r="K31">
        <v>42369</v>
      </c>
      <c r="L31">
        <v>0</v>
      </c>
      <c r="M31">
        <v>44869</v>
      </c>
      <c r="N31">
        <v>44869</v>
      </c>
      <c r="O31">
        <v>9629.5776923076919</v>
      </c>
      <c r="P31">
        <v>9629.5776923076919</v>
      </c>
      <c r="Q31">
        <v>475</v>
      </c>
      <c r="R31">
        <v>475</v>
      </c>
      <c r="S31">
        <v>10104.577692307692</v>
      </c>
      <c r="T31">
        <v>6425</v>
      </c>
      <c r="U31">
        <v>6425</v>
      </c>
      <c r="V31">
        <v>25655.422307692308</v>
      </c>
      <c r="W31" s="31" t="str">
        <f>VLOOKUP(vehicle_data[[#This Row],[Vehicle]],upfront[],6,FALSE)</f>
        <v>Austin</v>
      </c>
      <c r="X31">
        <v>4</v>
      </c>
    </row>
    <row r="32" spans="1:24" x14ac:dyDescent="0.45">
      <c r="A32" t="s">
        <v>103</v>
      </c>
      <c r="B32">
        <v>2</v>
      </c>
      <c r="C32">
        <v>29335</v>
      </c>
      <c r="D32">
        <v>70198</v>
      </c>
      <c r="E32">
        <v>0.18305364825208695</v>
      </c>
      <c r="F32">
        <v>1.2393515484771645E-2</v>
      </c>
      <c r="G32">
        <v>0.20934182871745194</v>
      </c>
      <c r="H32">
        <v>0.40478899245431055</v>
      </c>
      <c r="I32">
        <v>13769.622307692309</v>
      </c>
      <c r="J32">
        <v>42370</v>
      </c>
      <c r="K32">
        <v>42734</v>
      </c>
      <c r="L32">
        <v>44869</v>
      </c>
      <c r="M32">
        <v>70198</v>
      </c>
      <c r="N32">
        <v>25329</v>
      </c>
      <c r="O32">
        <v>5065.8</v>
      </c>
      <c r="P32">
        <v>14695.377692307691</v>
      </c>
      <c r="Q32">
        <v>395</v>
      </c>
      <c r="R32">
        <v>870</v>
      </c>
      <c r="S32">
        <v>15565.377692307691</v>
      </c>
      <c r="T32">
        <v>6425</v>
      </c>
      <c r="U32">
        <v>12850</v>
      </c>
      <c r="V32">
        <v>13769.622307692309</v>
      </c>
      <c r="W32" s="31" t="str">
        <f>VLOOKUP(vehicle_data[[#This Row],[Vehicle]],upfront[],6,FALSE)</f>
        <v>Austin</v>
      </c>
    </row>
    <row r="33" spans="1:24" x14ac:dyDescent="0.45">
      <c r="A33" t="s">
        <v>103</v>
      </c>
      <c r="B33">
        <v>3</v>
      </c>
      <c r="C33">
        <v>22910</v>
      </c>
      <c r="D33">
        <v>85078</v>
      </c>
      <c r="E33">
        <v>0.22655680669503278</v>
      </c>
      <c r="F33">
        <v>2.2024847786736877E-2</v>
      </c>
      <c r="G33">
        <v>0.20770795848877138</v>
      </c>
      <c r="H33">
        <v>0.45628961297054105</v>
      </c>
      <c r="I33">
        <v>3364.7923076923107</v>
      </c>
      <c r="J33">
        <v>42735</v>
      </c>
      <c r="K33">
        <v>43099</v>
      </c>
      <c r="L33">
        <v>70198</v>
      </c>
      <c r="M33">
        <v>85078</v>
      </c>
      <c r="N33">
        <v>14880</v>
      </c>
      <c r="O33">
        <v>2976</v>
      </c>
      <c r="P33">
        <v>17671.377692307691</v>
      </c>
      <c r="Q33">
        <v>1003.83</v>
      </c>
      <c r="R33">
        <v>1873.83</v>
      </c>
      <c r="S33">
        <v>19545.207692307689</v>
      </c>
      <c r="T33">
        <v>6425</v>
      </c>
      <c r="U33">
        <v>19275</v>
      </c>
      <c r="V33">
        <v>3364.7923076923107</v>
      </c>
      <c r="W33" s="31" t="str">
        <f>VLOOKUP(vehicle_data[[#This Row],[Vehicle]],upfront[],6,FALSE)</f>
        <v>Austin</v>
      </c>
    </row>
    <row r="34" spans="1:24" x14ac:dyDescent="0.45">
      <c r="A34" t="s">
        <v>103</v>
      </c>
      <c r="B34">
        <v>4</v>
      </c>
      <c r="C34">
        <v>16485</v>
      </c>
      <c r="D34">
        <v>115418</v>
      </c>
      <c r="E34">
        <v>0.22266890779601103</v>
      </c>
      <c r="F34">
        <v>2.2230761233083228E-2</v>
      </c>
      <c r="G34">
        <v>0.19678460365467593</v>
      </c>
      <c r="H34">
        <v>0.4416842726837702</v>
      </c>
      <c r="I34">
        <v>-8793.3153846153873</v>
      </c>
      <c r="J34">
        <v>43100</v>
      </c>
      <c r="K34">
        <v>43464</v>
      </c>
      <c r="L34">
        <v>85078</v>
      </c>
      <c r="M34">
        <v>115418</v>
      </c>
      <c r="N34">
        <v>30340</v>
      </c>
      <c r="O34">
        <v>5041.1076923076926</v>
      </c>
      <c r="P34">
        <v>22712.485384615386</v>
      </c>
      <c r="Q34">
        <v>692</v>
      </c>
      <c r="R34">
        <v>2565.83</v>
      </c>
      <c r="S34">
        <v>25278.315384615387</v>
      </c>
      <c r="T34">
        <v>6425</v>
      </c>
      <c r="U34">
        <v>25700</v>
      </c>
      <c r="V34">
        <v>-8793.3153846153873</v>
      </c>
      <c r="W34" s="31" t="str">
        <f>VLOOKUP(vehicle_data[[#This Row],[Vehicle]],upfront[],6,FALSE)</f>
        <v>Austin</v>
      </c>
    </row>
    <row r="35" spans="1:24" x14ac:dyDescent="0.45">
      <c r="A35" t="s">
        <v>103</v>
      </c>
      <c r="B35">
        <v>5</v>
      </c>
      <c r="C35">
        <v>10060</v>
      </c>
      <c r="D35">
        <v>145209</v>
      </c>
      <c r="E35">
        <v>0.22123284369426138</v>
      </c>
      <c r="F35">
        <v>4.5221714907478186E-2</v>
      </c>
      <c r="G35">
        <v>0.19586612294109765</v>
      </c>
      <c r="H35">
        <v>0.46232068154283723</v>
      </c>
      <c r="I35">
        <v>-24948.123846153845</v>
      </c>
      <c r="J35">
        <v>43465</v>
      </c>
      <c r="K35">
        <v>43829</v>
      </c>
      <c r="L35">
        <v>115418</v>
      </c>
      <c r="M35">
        <v>145209</v>
      </c>
      <c r="N35">
        <v>29791</v>
      </c>
      <c r="O35">
        <v>5729.0384615384619</v>
      </c>
      <c r="P35">
        <v>28441.523846153847</v>
      </c>
      <c r="Q35">
        <v>4000.7700000000004</v>
      </c>
      <c r="R35">
        <v>6566.6</v>
      </c>
      <c r="S35">
        <v>35008.123846153845</v>
      </c>
      <c r="T35">
        <v>6425</v>
      </c>
      <c r="U35">
        <v>32125</v>
      </c>
      <c r="V35">
        <v>-24948.123846153845</v>
      </c>
      <c r="W35" s="31" t="str">
        <f>VLOOKUP(vehicle_data[[#This Row],[Vehicle]],upfront[],6,FALSE)</f>
        <v>Austin</v>
      </c>
    </row>
    <row r="36" spans="1:24" x14ac:dyDescent="0.45">
      <c r="A36" t="s">
        <v>103</v>
      </c>
      <c r="B36">
        <v>6</v>
      </c>
      <c r="C36">
        <v>10060</v>
      </c>
      <c r="D36">
        <v>157225</v>
      </c>
      <c r="E36">
        <v>0.20432501192558436</v>
      </c>
      <c r="F36">
        <v>4.7453013197646686E-2</v>
      </c>
      <c r="G36">
        <v>0.19559416808346686</v>
      </c>
      <c r="H36">
        <v>0.44737219320669791</v>
      </c>
      <c r="I36">
        <v>-28153.093076923076</v>
      </c>
      <c r="J36">
        <v>43830</v>
      </c>
      <c r="K36">
        <v>44194</v>
      </c>
      <c r="L36">
        <v>145209</v>
      </c>
      <c r="M36">
        <v>157225</v>
      </c>
      <c r="N36">
        <v>12016</v>
      </c>
      <c r="O36">
        <v>2310.7692307692305</v>
      </c>
      <c r="P36">
        <v>30752.293076923077</v>
      </c>
      <c r="Q36">
        <v>894.2</v>
      </c>
      <c r="R36">
        <v>7460.8</v>
      </c>
      <c r="S36">
        <v>38213.093076923076</v>
      </c>
      <c r="T36">
        <v>0</v>
      </c>
      <c r="U36">
        <v>32125</v>
      </c>
      <c r="V36">
        <v>-28153.093076923076</v>
      </c>
      <c r="W36" s="31" t="str">
        <f>VLOOKUP(vehicle_data[[#This Row],[Vehicle]],upfront[],6,FALSE)</f>
        <v>Austin</v>
      </c>
    </row>
    <row r="37" spans="1:24" x14ac:dyDescent="0.45">
      <c r="A37" t="s">
        <v>104</v>
      </c>
      <c r="B37">
        <v>1</v>
      </c>
      <c r="C37">
        <v>40515.599999999999</v>
      </c>
      <c r="D37">
        <v>36834</v>
      </c>
      <c r="E37">
        <v>0.16876798609979909</v>
      </c>
      <c r="F37">
        <v>1.3302926643861649E-2</v>
      </c>
      <c r="G37">
        <v>0.155</v>
      </c>
      <c r="H37">
        <v>0.33707091274366074</v>
      </c>
      <c r="I37">
        <v>34316.33</v>
      </c>
      <c r="J37">
        <v>42130</v>
      </c>
      <c r="K37">
        <v>42494</v>
      </c>
      <c r="L37">
        <v>0</v>
      </c>
      <c r="M37">
        <v>36834</v>
      </c>
      <c r="N37">
        <v>36834</v>
      </c>
      <c r="O37">
        <v>5709.2699999999995</v>
      </c>
      <c r="P37">
        <v>5709.2699999999995</v>
      </c>
      <c r="Q37">
        <v>490</v>
      </c>
      <c r="R37">
        <v>490</v>
      </c>
      <c r="S37">
        <v>6199.2699999999995</v>
      </c>
      <c r="T37">
        <v>6216.4</v>
      </c>
      <c r="U37">
        <v>6216.4</v>
      </c>
      <c r="V37">
        <v>34316.33</v>
      </c>
      <c r="W37" s="31" t="str">
        <f>VLOOKUP(vehicle_data[[#This Row],[Vehicle]],upfront[],6,FALSE)</f>
        <v>Austin</v>
      </c>
      <c r="X37">
        <v>5</v>
      </c>
    </row>
    <row r="38" spans="1:24" x14ac:dyDescent="0.45">
      <c r="A38" t="s">
        <v>104</v>
      </c>
      <c r="B38">
        <v>2</v>
      </c>
      <c r="C38">
        <v>34299.199999999997</v>
      </c>
      <c r="D38">
        <v>60427</v>
      </c>
      <c r="E38">
        <v>0.20574908567362271</v>
      </c>
      <c r="F38">
        <v>1.4563026461681037E-2</v>
      </c>
      <c r="G38">
        <v>0.15087870948049342</v>
      </c>
      <c r="H38">
        <v>0.3711908216157972</v>
      </c>
      <c r="I38">
        <v>24302.052222222221</v>
      </c>
      <c r="J38">
        <v>42495</v>
      </c>
      <c r="K38">
        <v>42859</v>
      </c>
      <c r="L38">
        <v>36834</v>
      </c>
      <c r="M38">
        <v>60427</v>
      </c>
      <c r="N38">
        <v>23593</v>
      </c>
      <c r="O38">
        <v>3407.8777777777777</v>
      </c>
      <c r="P38">
        <v>9117.1477777777764</v>
      </c>
      <c r="Q38">
        <v>390</v>
      </c>
      <c r="R38">
        <v>880</v>
      </c>
      <c r="S38">
        <v>9997.1477777777764</v>
      </c>
      <c r="T38">
        <v>6216.4</v>
      </c>
      <c r="U38">
        <v>12432.8</v>
      </c>
      <c r="V38">
        <v>24302.052222222221</v>
      </c>
      <c r="W38" s="31" t="str">
        <f>VLOOKUP(vehicle_data[[#This Row],[Vehicle]],upfront[],6,FALSE)</f>
        <v>Austin</v>
      </c>
    </row>
    <row r="39" spans="1:24" x14ac:dyDescent="0.45">
      <c r="A39" t="s">
        <v>104</v>
      </c>
      <c r="B39">
        <v>3</v>
      </c>
      <c r="C39">
        <v>28082.799999999996</v>
      </c>
      <c r="D39">
        <v>84838</v>
      </c>
      <c r="E39">
        <v>0.21982130649001624</v>
      </c>
      <c r="F39">
        <v>1.685565430585351E-2</v>
      </c>
      <c r="G39">
        <v>0.14199377375442343</v>
      </c>
      <c r="H39">
        <v>0.37867073455029321</v>
      </c>
      <c r="I39">
        <v>14606.33222222222</v>
      </c>
      <c r="J39">
        <v>42860</v>
      </c>
      <c r="K39">
        <v>43224</v>
      </c>
      <c r="L39">
        <v>60427</v>
      </c>
      <c r="M39">
        <v>84838</v>
      </c>
      <c r="N39">
        <v>24411</v>
      </c>
      <c r="O39">
        <v>2929.32</v>
      </c>
      <c r="P39">
        <v>12046.467777777776</v>
      </c>
      <c r="Q39">
        <v>550</v>
      </c>
      <c r="R39">
        <v>1430</v>
      </c>
      <c r="S39">
        <v>13476.467777777776</v>
      </c>
      <c r="T39">
        <v>6216.4</v>
      </c>
      <c r="U39">
        <v>18649.199999999997</v>
      </c>
      <c r="V39">
        <v>14606.33222222222</v>
      </c>
      <c r="W39" s="31" t="str">
        <f>VLOOKUP(vehicle_data[[#This Row],[Vehicle]],upfront[],6,FALSE)</f>
        <v>Austin</v>
      </c>
    </row>
    <row r="40" spans="1:24" x14ac:dyDescent="0.45">
      <c r="A40" t="s">
        <v>104</v>
      </c>
      <c r="B40">
        <v>4</v>
      </c>
      <c r="C40">
        <v>21866.399999999994</v>
      </c>
      <c r="D40">
        <v>110331</v>
      </c>
      <c r="E40">
        <v>0.22537274202173457</v>
      </c>
      <c r="F40">
        <v>1.7220907995033126E-2</v>
      </c>
      <c r="G40">
        <v>0.1412763613329184</v>
      </c>
      <c r="H40">
        <v>0.38387001134968612</v>
      </c>
      <c r="I40">
        <v>4379.2377777777729</v>
      </c>
      <c r="J40">
        <v>43225</v>
      </c>
      <c r="K40">
        <v>43589</v>
      </c>
      <c r="L40">
        <v>84838</v>
      </c>
      <c r="M40">
        <v>110331</v>
      </c>
      <c r="N40">
        <v>25493</v>
      </c>
      <c r="O40">
        <v>3540.6944444444443</v>
      </c>
      <c r="P40">
        <v>15587.162222222221</v>
      </c>
      <c r="Q40">
        <v>470</v>
      </c>
      <c r="R40">
        <v>1900</v>
      </c>
      <c r="S40">
        <v>17487.162222222221</v>
      </c>
      <c r="T40">
        <v>6216.4</v>
      </c>
      <c r="U40">
        <v>24865.599999999999</v>
      </c>
      <c r="V40">
        <v>4379.2377777777729</v>
      </c>
      <c r="W40" s="31" t="str">
        <f>VLOOKUP(vehicle_data[[#This Row],[Vehicle]],upfront[],6,FALSE)</f>
        <v>Austin</v>
      </c>
    </row>
    <row r="41" spans="1:24" x14ac:dyDescent="0.45">
      <c r="A41" t="s">
        <v>104</v>
      </c>
      <c r="B41">
        <v>5</v>
      </c>
      <c r="C41">
        <v>15649.999999999995</v>
      </c>
      <c r="D41">
        <v>134227</v>
      </c>
      <c r="E41">
        <v>0.23156294933210159</v>
      </c>
      <c r="F41">
        <v>1.6613647030776224E-2</v>
      </c>
      <c r="G41">
        <v>0.14085132731202449</v>
      </c>
      <c r="H41">
        <v>0.3890279236749023</v>
      </c>
      <c r="I41">
        <v>-5486.0511111111173</v>
      </c>
      <c r="J41">
        <v>43590</v>
      </c>
      <c r="K41">
        <v>43954</v>
      </c>
      <c r="L41">
        <v>110331</v>
      </c>
      <c r="M41">
        <v>134227</v>
      </c>
      <c r="N41">
        <v>23896</v>
      </c>
      <c r="O41">
        <v>3318.8888888888891</v>
      </c>
      <c r="P41">
        <v>18906.051111111112</v>
      </c>
      <c r="Q41">
        <v>330</v>
      </c>
      <c r="R41">
        <v>2230</v>
      </c>
      <c r="S41">
        <v>21136.051111111112</v>
      </c>
      <c r="T41">
        <v>6216.4</v>
      </c>
      <c r="U41">
        <v>31082</v>
      </c>
      <c r="V41">
        <v>-5486.0511111111173</v>
      </c>
      <c r="W41" s="31" t="str">
        <f>VLOOKUP(vehicle_data[[#This Row],[Vehicle]],upfront[],6,FALSE)</f>
        <v>Austin</v>
      </c>
    </row>
    <row r="42" spans="1:24" x14ac:dyDescent="0.45">
      <c r="A42" t="s">
        <v>104</v>
      </c>
      <c r="B42">
        <v>6</v>
      </c>
      <c r="C42">
        <v>15649.999999999995</v>
      </c>
      <c r="D42">
        <v>139962</v>
      </c>
      <c r="E42">
        <v>0.2220745630956974</v>
      </c>
      <c r="F42">
        <v>2.904359754790586E-2</v>
      </c>
      <c r="G42">
        <v>0.14190912136468786</v>
      </c>
      <c r="H42">
        <v>0.39302728200829112</v>
      </c>
      <c r="I42">
        <v>-8276.8844444444494</v>
      </c>
      <c r="J42">
        <v>43955</v>
      </c>
      <c r="K42">
        <v>44319</v>
      </c>
      <c r="L42">
        <v>134227</v>
      </c>
      <c r="M42">
        <v>139962</v>
      </c>
      <c r="N42">
        <v>5735</v>
      </c>
      <c r="O42">
        <v>955.83333333333326</v>
      </c>
      <c r="P42">
        <v>19861.884444444444</v>
      </c>
      <c r="Q42">
        <v>1835</v>
      </c>
      <c r="R42">
        <v>4065</v>
      </c>
      <c r="S42">
        <v>23926.884444444444</v>
      </c>
      <c r="T42">
        <v>0</v>
      </c>
      <c r="U42">
        <v>31082</v>
      </c>
      <c r="V42">
        <v>-8276.8844444444494</v>
      </c>
      <c r="W42" s="31" t="str">
        <f>VLOOKUP(vehicle_data[[#This Row],[Vehicle]],upfront[],6,FALSE)</f>
        <v>Austin</v>
      </c>
    </row>
    <row r="43" spans="1:24" x14ac:dyDescent="0.45">
      <c r="A43" t="s">
        <v>105</v>
      </c>
      <c r="B43">
        <v>1</v>
      </c>
      <c r="C43">
        <v>36017</v>
      </c>
      <c r="D43">
        <v>165</v>
      </c>
      <c r="E43">
        <v>40.284848484848482</v>
      </c>
      <c r="F43">
        <v>0.63030303030303025</v>
      </c>
      <c r="G43">
        <v>0.13157894736842105</v>
      </c>
      <c r="H43">
        <v>41.046730462519932</v>
      </c>
      <c r="I43">
        <v>35891.289473684214</v>
      </c>
      <c r="J43">
        <v>43431</v>
      </c>
      <c r="K43">
        <v>43795</v>
      </c>
      <c r="L43">
        <v>0</v>
      </c>
      <c r="M43">
        <v>165</v>
      </c>
      <c r="N43">
        <v>165</v>
      </c>
      <c r="O43">
        <v>21.710526315789473</v>
      </c>
      <c r="P43">
        <v>21.710526315789473</v>
      </c>
      <c r="Q43">
        <v>104</v>
      </c>
      <c r="R43">
        <v>104</v>
      </c>
      <c r="S43">
        <v>125.71052631578948</v>
      </c>
      <c r="T43">
        <v>6647</v>
      </c>
      <c r="U43">
        <v>6647</v>
      </c>
      <c r="V43">
        <v>35891.289473684214</v>
      </c>
      <c r="W43" s="31" t="str">
        <f>VLOOKUP(vehicle_data[[#This Row],[Vehicle]],upfront[],6,FALSE)</f>
        <v>Austin</v>
      </c>
      <c r="X43" t="s">
        <v>190</v>
      </c>
    </row>
    <row r="44" spans="1:24" x14ac:dyDescent="0.45">
      <c r="A44" t="s">
        <v>105</v>
      </c>
      <c r="B44">
        <v>2</v>
      </c>
      <c r="C44">
        <v>29370</v>
      </c>
      <c r="D44">
        <v>28611</v>
      </c>
      <c r="E44">
        <v>0.46464646464646464</v>
      </c>
      <c r="F44">
        <v>1.2372863583936248E-2</v>
      </c>
      <c r="G44">
        <v>0.13157894736842105</v>
      </c>
      <c r="H44">
        <v>0.60859827559882196</v>
      </c>
      <c r="I44">
        <v>25251.394736842107</v>
      </c>
      <c r="J44">
        <v>43796</v>
      </c>
      <c r="K44">
        <v>44160</v>
      </c>
      <c r="L44">
        <v>165</v>
      </c>
      <c r="M44">
        <v>28611</v>
      </c>
      <c r="N44">
        <v>28446</v>
      </c>
      <c r="O44">
        <v>3742.894736842105</v>
      </c>
      <c r="P44">
        <v>3764.6052631578946</v>
      </c>
      <c r="Q44">
        <v>250</v>
      </c>
      <c r="R44">
        <v>354</v>
      </c>
      <c r="S44">
        <v>4118.605263157895</v>
      </c>
      <c r="T44">
        <v>6647</v>
      </c>
      <c r="U44">
        <v>13294</v>
      </c>
      <c r="V44">
        <v>25251.394736842107</v>
      </c>
      <c r="W44" s="31" t="str">
        <f>VLOOKUP(vehicle_data[[#This Row],[Vehicle]],upfront[],6,FALSE)</f>
        <v>Austin</v>
      </c>
    </row>
    <row r="45" spans="1:24" x14ac:dyDescent="0.45">
      <c r="A45" t="s">
        <v>106</v>
      </c>
      <c r="B45">
        <v>1</v>
      </c>
      <c r="C45">
        <v>38509</v>
      </c>
      <c r="D45">
        <v>33525</v>
      </c>
      <c r="E45">
        <v>0.26037285607755406</v>
      </c>
      <c r="F45">
        <v>2.1625652498135719E-2</v>
      </c>
      <c r="G45">
        <v>0.16666666666666666</v>
      </c>
      <c r="H45">
        <v>0.44866517524235638</v>
      </c>
      <c r="I45">
        <v>32196.5</v>
      </c>
      <c r="J45">
        <v>43801</v>
      </c>
      <c r="K45">
        <v>44165</v>
      </c>
      <c r="L45">
        <v>0</v>
      </c>
      <c r="M45">
        <v>33525</v>
      </c>
      <c r="N45">
        <v>33525</v>
      </c>
      <c r="O45">
        <v>5587.5</v>
      </c>
      <c r="P45">
        <v>5587.5</v>
      </c>
      <c r="Q45">
        <v>725</v>
      </c>
      <c r="R45">
        <v>725</v>
      </c>
      <c r="S45">
        <v>6312.5</v>
      </c>
      <c r="T45">
        <v>8729</v>
      </c>
      <c r="U45">
        <v>8729</v>
      </c>
      <c r="V45">
        <v>32196.5</v>
      </c>
      <c r="W45" s="31" t="str">
        <f>VLOOKUP(vehicle_data[[#This Row],[Vehicle]],upfront[],6,FALSE)</f>
        <v>Austin</v>
      </c>
      <c r="X45" t="s">
        <v>190</v>
      </c>
    </row>
    <row r="46" spans="1:24" x14ac:dyDescent="0.45">
      <c r="A46" t="s">
        <v>106</v>
      </c>
      <c r="B46">
        <v>2</v>
      </c>
      <c r="C46">
        <v>29780</v>
      </c>
      <c r="D46">
        <v>39363</v>
      </c>
      <c r="E46">
        <v>0.44351294362726418</v>
      </c>
      <c r="F46">
        <v>2.4642430709041485E-2</v>
      </c>
      <c r="G46">
        <v>0.17161039554911975</v>
      </c>
      <c r="H46">
        <v>0.63976576988542544</v>
      </c>
      <c r="I46">
        <v>22054.9</v>
      </c>
      <c r="J46">
        <v>44166</v>
      </c>
      <c r="K46">
        <v>44530</v>
      </c>
      <c r="L46">
        <v>33525</v>
      </c>
      <c r="M46">
        <v>39363</v>
      </c>
      <c r="N46">
        <v>5838</v>
      </c>
      <c r="O46">
        <v>1167.5999999999999</v>
      </c>
      <c r="P46">
        <v>6755.1</v>
      </c>
      <c r="Q46">
        <v>245</v>
      </c>
      <c r="R46">
        <v>970</v>
      </c>
      <c r="S46">
        <v>7725.1</v>
      </c>
      <c r="T46">
        <v>8729</v>
      </c>
      <c r="U46">
        <v>17458</v>
      </c>
      <c r="V46">
        <v>22054.9</v>
      </c>
      <c r="W46" s="31" t="str">
        <f>VLOOKUP(vehicle_data[[#This Row],[Vehicle]],upfront[],6,FALSE)</f>
        <v>Austin</v>
      </c>
    </row>
    <row r="47" spans="1:24" x14ac:dyDescent="0.45">
      <c r="A47" t="s">
        <v>125</v>
      </c>
      <c r="B47">
        <v>1</v>
      </c>
      <c r="C47">
        <v>38734.400000000001</v>
      </c>
      <c r="D47">
        <v>40028</v>
      </c>
      <c r="E47">
        <v>0.17971420005995803</v>
      </c>
      <c r="F47">
        <v>2.0176126711302089E-2</v>
      </c>
      <c r="G47">
        <v>0.11888888888888891</v>
      </c>
      <c r="H47">
        <v>0.318779215660149</v>
      </c>
      <c r="I47">
        <v>33167.905555555553</v>
      </c>
      <c r="J47">
        <v>41445</v>
      </c>
      <c r="K47">
        <v>41809</v>
      </c>
      <c r="L47">
        <v>0</v>
      </c>
      <c r="M47">
        <v>40028</v>
      </c>
      <c r="N47">
        <v>40028</v>
      </c>
      <c r="O47">
        <v>4758.8844444444449</v>
      </c>
      <c r="P47">
        <v>4758.8844444444449</v>
      </c>
      <c r="Q47">
        <v>807.61</v>
      </c>
      <c r="R47">
        <v>807.61</v>
      </c>
      <c r="S47">
        <v>5566.4944444444445</v>
      </c>
      <c r="T47">
        <v>7193.6</v>
      </c>
      <c r="U47">
        <v>7193.6</v>
      </c>
      <c r="V47">
        <v>33167.905555555553</v>
      </c>
      <c r="W47" s="31" t="str">
        <f>VLOOKUP(vehicle_data[[#This Row],[Vehicle]],upfront[],6,FALSE)</f>
        <v>Redford</v>
      </c>
      <c r="X47">
        <v>4</v>
      </c>
    </row>
    <row r="48" spans="1:24" x14ac:dyDescent="0.45">
      <c r="A48" t="s">
        <v>125</v>
      </c>
      <c r="B48">
        <v>2</v>
      </c>
      <c r="C48">
        <v>31540.800000000003</v>
      </c>
      <c r="D48">
        <v>60123</v>
      </c>
      <c r="E48">
        <v>0.23929610964190079</v>
      </c>
      <c r="F48">
        <v>1.7634848560451076E-2</v>
      </c>
      <c r="G48">
        <v>0.12408804543278872</v>
      </c>
      <c r="H48">
        <v>0.38101900363514057</v>
      </c>
      <c r="I48">
        <v>23019.994444444448</v>
      </c>
      <c r="J48">
        <v>41810</v>
      </c>
      <c r="K48">
        <v>42174</v>
      </c>
      <c r="L48">
        <v>40028</v>
      </c>
      <c r="M48">
        <v>60123</v>
      </c>
      <c r="N48">
        <v>20095</v>
      </c>
      <c r="O48">
        <v>2701.661111111111</v>
      </c>
      <c r="P48">
        <v>7460.5455555555563</v>
      </c>
      <c r="Q48">
        <v>252.65000000000003</v>
      </c>
      <c r="R48">
        <v>1060.26</v>
      </c>
      <c r="S48">
        <v>8520.8055555555566</v>
      </c>
      <c r="T48">
        <v>7193.6</v>
      </c>
      <c r="U48">
        <v>14387.2</v>
      </c>
      <c r="V48">
        <v>23019.994444444448</v>
      </c>
      <c r="W48" s="31" t="str">
        <f>VLOOKUP(vehicle_data[[#This Row],[Vehicle]],upfront[],6,FALSE)</f>
        <v>Redford</v>
      </c>
    </row>
    <row r="49" spans="1:24" x14ac:dyDescent="0.45">
      <c r="A49" t="s">
        <v>125</v>
      </c>
      <c r="B49">
        <v>3</v>
      </c>
      <c r="C49">
        <v>24347.200000000004</v>
      </c>
      <c r="D49">
        <v>73517</v>
      </c>
      <c r="E49">
        <v>0.29354843097514866</v>
      </c>
      <c r="F49">
        <v>4.3431451228967445E-2</v>
      </c>
      <c r="G49">
        <v>0.12971986826931942</v>
      </c>
      <c r="H49">
        <v>0.46669975047343554</v>
      </c>
      <c r="I49">
        <v>11617.634444444448</v>
      </c>
      <c r="J49">
        <v>42175</v>
      </c>
      <c r="K49">
        <v>42539</v>
      </c>
      <c r="L49">
        <v>60123</v>
      </c>
      <c r="M49">
        <v>73517</v>
      </c>
      <c r="N49">
        <v>13394</v>
      </c>
      <c r="O49">
        <v>2076.0700000000002</v>
      </c>
      <c r="P49">
        <v>9536.6155555555561</v>
      </c>
      <c r="Q49">
        <v>2132.69</v>
      </c>
      <c r="R49">
        <v>3192.95</v>
      </c>
      <c r="S49">
        <v>12729.565555555557</v>
      </c>
      <c r="T49">
        <v>7193.6</v>
      </c>
      <c r="U49">
        <v>21580.800000000003</v>
      </c>
      <c r="V49">
        <v>11617.634444444448</v>
      </c>
      <c r="W49" s="31" t="str">
        <f>VLOOKUP(vehicle_data[[#This Row],[Vehicle]],upfront[],6,FALSE)</f>
        <v>Redford</v>
      </c>
    </row>
    <row r="50" spans="1:24" x14ac:dyDescent="0.45">
      <c r="A50" t="s">
        <v>125</v>
      </c>
      <c r="B50">
        <v>4</v>
      </c>
      <c r="C50">
        <v>17153.600000000006</v>
      </c>
      <c r="D50">
        <v>108742</v>
      </c>
      <c r="E50">
        <v>0.26461164959261374</v>
      </c>
      <c r="F50">
        <v>3.5019403726251126E-2</v>
      </c>
      <c r="G50">
        <v>0.13448962784490914</v>
      </c>
      <c r="H50">
        <v>0.434120681163774</v>
      </c>
      <c r="I50">
        <v>-1279.1511111111031</v>
      </c>
      <c r="J50">
        <v>42540</v>
      </c>
      <c r="K50">
        <v>42904</v>
      </c>
      <c r="L50">
        <v>73517</v>
      </c>
      <c r="M50">
        <v>108742</v>
      </c>
      <c r="N50">
        <v>35225</v>
      </c>
      <c r="O50">
        <v>5088.0555555555557</v>
      </c>
      <c r="P50">
        <v>14624.671111111111</v>
      </c>
      <c r="Q50">
        <v>615.13</v>
      </c>
      <c r="R50">
        <v>3808.08</v>
      </c>
      <c r="S50">
        <v>18432.751111111109</v>
      </c>
      <c r="T50">
        <v>7193.6</v>
      </c>
      <c r="U50">
        <v>28774.400000000001</v>
      </c>
      <c r="V50">
        <v>-1279.1511111111031</v>
      </c>
      <c r="W50" s="31" t="str">
        <f>VLOOKUP(vehicle_data[[#This Row],[Vehicle]],upfront[],6,FALSE)</f>
        <v>Redford</v>
      </c>
    </row>
    <row r="51" spans="1:24" x14ac:dyDescent="0.45">
      <c r="A51" t="s">
        <v>125</v>
      </c>
      <c r="B51">
        <v>5</v>
      </c>
      <c r="C51">
        <v>9960.0000000000055</v>
      </c>
      <c r="D51">
        <v>137210</v>
      </c>
      <c r="E51">
        <v>0.26213832811019605</v>
      </c>
      <c r="F51">
        <v>5.7717367538809121E-2</v>
      </c>
      <c r="G51">
        <v>0.13148335479273457</v>
      </c>
      <c r="H51">
        <v>0.45133905044173972</v>
      </c>
      <c r="I51">
        <v>-16000.231111111107</v>
      </c>
      <c r="J51">
        <v>42905</v>
      </c>
      <c r="K51">
        <v>43269</v>
      </c>
      <c r="L51">
        <v>108742</v>
      </c>
      <c r="M51">
        <v>137210</v>
      </c>
      <c r="N51">
        <v>28468</v>
      </c>
      <c r="O51">
        <v>3416.1600000000003</v>
      </c>
      <c r="P51">
        <v>18040.831111111111</v>
      </c>
      <c r="Q51">
        <v>4111.32</v>
      </c>
      <c r="R51">
        <v>7919.4</v>
      </c>
      <c r="S51">
        <v>25960.231111111112</v>
      </c>
      <c r="T51">
        <v>7193.6</v>
      </c>
      <c r="U51">
        <v>35968</v>
      </c>
      <c r="V51">
        <v>-16000.231111111107</v>
      </c>
      <c r="W51" s="31" t="str">
        <f>VLOOKUP(vehicle_data[[#This Row],[Vehicle]],upfront[],6,FALSE)</f>
        <v>Redford</v>
      </c>
    </row>
    <row r="52" spans="1:24" x14ac:dyDescent="0.45">
      <c r="A52" t="s">
        <v>125</v>
      </c>
      <c r="B52">
        <v>6</v>
      </c>
      <c r="C52">
        <v>9960.0000000000055</v>
      </c>
      <c r="D52">
        <v>165000</v>
      </c>
      <c r="E52">
        <v>0.21798787878787879</v>
      </c>
      <c r="F52">
        <v>8.4730121212121215E-2</v>
      </c>
      <c r="G52">
        <v>0.13273062626262627</v>
      </c>
      <c r="H52">
        <v>0.43544862626262626</v>
      </c>
      <c r="I52">
        <v>-25921.023333333324</v>
      </c>
      <c r="J52">
        <v>43270</v>
      </c>
      <c r="K52">
        <v>43634</v>
      </c>
      <c r="L52">
        <v>137210</v>
      </c>
      <c r="M52">
        <v>165000</v>
      </c>
      <c r="N52">
        <v>27790</v>
      </c>
      <c r="O52">
        <v>3859.7222222222222</v>
      </c>
      <c r="P52">
        <v>21900.553333333333</v>
      </c>
      <c r="Q52">
        <v>6061.07</v>
      </c>
      <c r="R52">
        <v>13980.47</v>
      </c>
      <c r="S52">
        <v>35881.023333333331</v>
      </c>
      <c r="T52">
        <v>0</v>
      </c>
      <c r="U52">
        <v>35968</v>
      </c>
      <c r="V52">
        <v>-25921.023333333324</v>
      </c>
      <c r="W52" s="31" t="str">
        <f>VLOOKUP(vehicle_data[[#This Row],[Vehicle]],upfront[],6,FALSE)</f>
        <v>Redford</v>
      </c>
    </row>
    <row r="53" spans="1:24" x14ac:dyDescent="0.45">
      <c r="A53" t="s">
        <v>125</v>
      </c>
      <c r="B53">
        <v>7</v>
      </c>
      <c r="C53">
        <v>9960.0000000000055</v>
      </c>
      <c r="D53">
        <v>181564</v>
      </c>
      <c r="E53">
        <v>0.19810094512127954</v>
      </c>
      <c r="F53">
        <v>7.8893943733339203E-2</v>
      </c>
      <c r="G53">
        <v>0.13329244172241683</v>
      </c>
      <c r="H53">
        <v>0.41028733057703559</v>
      </c>
      <c r="I53">
        <v>-28565.40888888888</v>
      </c>
      <c r="J53">
        <v>43635</v>
      </c>
      <c r="K53">
        <v>43999</v>
      </c>
      <c r="L53">
        <v>167822</v>
      </c>
      <c r="M53">
        <v>184386</v>
      </c>
      <c r="N53">
        <v>16564</v>
      </c>
      <c r="O53">
        <v>2300.5555555555557</v>
      </c>
      <c r="P53">
        <v>24201.108888888888</v>
      </c>
      <c r="Q53">
        <v>343.83000000000004</v>
      </c>
      <c r="R53">
        <v>14324.3</v>
      </c>
      <c r="S53">
        <v>38525.408888888887</v>
      </c>
      <c r="T53">
        <v>0</v>
      </c>
      <c r="U53">
        <v>35968</v>
      </c>
      <c r="V53">
        <v>-28565.40888888888</v>
      </c>
      <c r="W53" s="31" t="str">
        <f>VLOOKUP(vehicle_data[[#This Row],[Vehicle]],upfront[],6,FALSE)</f>
        <v>Redford</v>
      </c>
    </row>
    <row r="54" spans="1:24" x14ac:dyDescent="0.45">
      <c r="A54" t="s">
        <v>125</v>
      </c>
      <c r="B54">
        <v>8</v>
      </c>
      <c r="C54">
        <v>9960.0000000000055</v>
      </c>
      <c r="D54">
        <v>182540</v>
      </c>
      <c r="E54">
        <v>0.19704174427522736</v>
      </c>
      <c r="F54">
        <v>8.0085186808370762E-2</v>
      </c>
      <c r="G54">
        <v>0.13347088613758934</v>
      </c>
      <c r="H54">
        <v>0.41059781722118743</v>
      </c>
      <c r="I54">
        <v>-29022.525555555549</v>
      </c>
      <c r="J54">
        <v>44000</v>
      </c>
      <c r="K54">
        <v>44364</v>
      </c>
      <c r="L54">
        <v>194052</v>
      </c>
      <c r="M54">
        <v>195028</v>
      </c>
      <c r="N54">
        <v>976</v>
      </c>
      <c r="O54">
        <v>162.66666666666666</v>
      </c>
      <c r="P54">
        <v>24363.775555555556</v>
      </c>
      <c r="Q54">
        <v>294.45</v>
      </c>
      <c r="R54">
        <v>14618.75</v>
      </c>
      <c r="S54">
        <v>38982.525555555556</v>
      </c>
      <c r="T54">
        <v>0</v>
      </c>
      <c r="U54">
        <v>35968</v>
      </c>
      <c r="V54">
        <v>-29022.525555555549</v>
      </c>
      <c r="W54" s="31" t="str">
        <f>VLOOKUP(vehicle_data[[#This Row],[Vehicle]],upfront[],6,FALSE)</f>
        <v>Redford</v>
      </c>
    </row>
    <row r="55" spans="1:24" x14ac:dyDescent="0.45">
      <c r="A55" t="s">
        <v>126</v>
      </c>
      <c r="B55">
        <v>1</v>
      </c>
      <c r="C55">
        <v>39846</v>
      </c>
      <c r="D55">
        <v>20466</v>
      </c>
      <c r="E55">
        <v>0.37276458516564059</v>
      </c>
      <c r="F55">
        <v>1.835287794390697E-2</v>
      </c>
      <c r="G55">
        <v>0.18666666666666665</v>
      </c>
      <c r="H55">
        <v>0.57778412977621418</v>
      </c>
      <c r="I55">
        <v>35650.07</v>
      </c>
      <c r="J55">
        <v>40709</v>
      </c>
      <c r="K55">
        <v>41073</v>
      </c>
      <c r="L55">
        <v>0</v>
      </c>
      <c r="M55">
        <v>20466</v>
      </c>
      <c r="N55">
        <v>20466</v>
      </c>
      <c r="O55">
        <v>3820.3199999999997</v>
      </c>
      <c r="P55">
        <v>3820.3199999999997</v>
      </c>
      <c r="Q55">
        <v>375.61000000000007</v>
      </c>
      <c r="R55">
        <v>375.61000000000007</v>
      </c>
      <c r="S55">
        <v>4195.9299999999994</v>
      </c>
      <c r="T55">
        <v>7629</v>
      </c>
      <c r="U55">
        <v>7629</v>
      </c>
      <c r="V55">
        <v>35650.07</v>
      </c>
      <c r="W55" s="31" t="str">
        <f>VLOOKUP(vehicle_data[[#This Row],[Vehicle]],upfront[],6,FALSE)</f>
        <v>Redford</v>
      </c>
      <c r="X55">
        <v>4</v>
      </c>
    </row>
    <row r="56" spans="1:24" x14ac:dyDescent="0.45">
      <c r="A56" t="s">
        <v>126</v>
      </c>
      <c r="B56">
        <v>2</v>
      </c>
      <c r="C56">
        <v>32217</v>
      </c>
      <c r="D56">
        <v>33863</v>
      </c>
      <c r="E56">
        <v>0.45058027936095446</v>
      </c>
      <c r="F56">
        <v>1.2433334317691879E-2</v>
      </c>
      <c r="G56">
        <v>0.16622611700085638</v>
      </c>
      <c r="H56">
        <v>0.62923973067950278</v>
      </c>
      <c r="I56">
        <v>26167.055</v>
      </c>
      <c r="J56">
        <v>41074</v>
      </c>
      <c r="K56">
        <v>41438</v>
      </c>
      <c r="L56">
        <v>20466</v>
      </c>
      <c r="M56">
        <v>33863</v>
      </c>
      <c r="N56">
        <v>13397</v>
      </c>
      <c r="O56">
        <v>1808.5950000000003</v>
      </c>
      <c r="P56">
        <v>5628.915</v>
      </c>
      <c r="Q56">
        <v>45.42</v>
      </c>
      <c r="R56">
        <v>421.03000000000009</v>
      </c>
      <c r="S56">
        <v>6049.9449999999997</v>
      </c>
      <c r="T56">
        <v>7629</v>
      </c>
      <c r="U56">
        <v>15258</v>
      </c>
      <c r="V56">
        <v>26167.055</v>
      </c>
      <c r="W56" s="31" t="str">
        <f>VLOOKUP(vehicle_data[[#This Row],[Vehicle]],upfront[],6,FALSE)</f>
        <v>Redford</v>
      </c>
    </row>
    <row r="57" spans="1:24" x14ac:dyDescent="0.45">
      <c r="A57" t="s">
        <v>126</v>
      </c>
      <c r="B57">
        <v>3</v>
      </c>
      <c r="C57">
        <v>24588</v>
      </c>
      <c r="D57">
        <v>73228</v>
      </c>
      <c r="E57">
        <v>0.31254438193040912</v>
      </c>
      <c r="F57">
        <v>4.7631507073796917E-2</v>
      </c>
      <c r="G57">
        <v>0.14077915703161512</v>
      </c>
      <c r="H57">
        <v>0.50095504603582119</v>
      </c>
      <c r="I57">
        <v>10791.063888888888</v>
      </c>
      <c r="J57">
        <v>41439</v>
      </c>
      <c r="K57">
        <v>41803</v>
      </c>
      <c r="L57">
        <v>33863</v>
      </c>
      <c r="M57">
        <v>73228</v>
      </c>
      <c r="N57">
        <v>39365</v>
      </c>
      <c r="O57">
        <v>4680.0611111111111</v>
      </c>
      <c r="P57">
        <v>10308.976111111111</v>
      </c>
      <c r="Q57">
        <v>3066.9300000000003</v>
      </c>
      <c r="R57">
        <v>3487.9600000000005</v>
      </c>
      <c r="S57">
        <v>13796.936111111112</v>
      </c>
      <c r="T57">
        <v>7629</v>
      </c>
      <c r="U57">
        <v>22887</v>
      </c>
      <c r="V57">
        <v>10791.063888888888</v>
      </c>
      <c r="W57" s="31" t="str">
        <f>VLOOKUP(vehicle_data[[#This Row],[Vehicle]],upfront[],6,FALSE)</f>
        <v>Redford</v>
      </c>
    </row>
    <row r="58" spans="1:24" x14ac:dyDescent="0.45">
      <c r="A58" t="s">
        <v>126</v>
      </c>
      <c r="B58">
        <v>4</v>
      </c>
      <c r="C58">
        <v>16959</v>
      </c>
      <c r="D58">
        <v>100000</v>
      </c>
      <c r="E58">
        <v>0.30515999999999999</v>
      </c>
      <c r="F58">
        <v>4.6142900000000008E-2</v>
      </c>
      <c r="G58">
        <v>0.13908322777777776</v>
      </c>
      <c r="H58">
        <v>0.49038612777777774</v>
      </c>
      <c r="I58">
        <v>-1563.6127777777801</v>
      </c>
      <c r="J58">
        <v>41804</v>
      </c>
      <c r="K58">
        <v>42168</v>
      </c>
      <c r="L58">
        <v>73228</v>
      </c>
      <c r="M58">
        <v>100000</v>
      </c>
      <c r="N58">
        <v>26772</v>
      </c>
      <c r="O58">
        <v>3599.3466666666664</v>
      </c>
      <c r="P58">
        <v>13908.322777777777</v>
      </c>
      <c r="Q58">
        <v>1126.33</v>
      </c>
      <c r="R58">
        <v>4614.2900000000009</v>
      </c>
      <c r="S58">
        <v>18522.61277777778</v>
      </c>
      <c r="T58">
        <v>7629</v>
      </c>
      <c r="U58">
        <v>30516</v>
      </c>
      <c r="V58">
        <v>-1563.6127777777801</v>
      </c>
      <c r="W58" s="31" t="str">
        <f>VLOOKUP(vehicle_data[[#This Row],[Vehicle]],upfront[],6,FALSE)</f>
        <v>Redford</v>
      </c>
    </row>
    <row r="59" spans="1:24" x14ac:dyDescent="0.45">
      <c r="A59" t="s">
        <v>126</v>
      </c>
      <c r="B59">
        <v>5</v>
      </c>
      <c r="C59">
        <v>9330</v>
      </c>
      <c r="D59">
        <v>125000</v>
      </c>
      <c r="E59">
        <v>0.30515999999999999</v>
      </c>
      <c r="F59">
        <v>4.3667120000000011E-2</v>
      </c>
      <c r="G59">
        <v>0.14226658222222224</v>
      </c>
      <c r="H59">
        <v>0.49109370222222226</v>
      </c>
      <c r="I59">
        <v>-13911.712777777779</v>
      </c>
      <c r="J59">
        <v>42169</v>
      </c>
      <c r="K59">
        <v>42533</v>
      </c>
      <c r="L59">
        <v>100000</v>
      </c>
      <c r="M59">
        <v>125000</v>
      </c>
      <c r="N59">
        <v>25000</v>
      </c>
      <c r="O59">
        <v>3875</v>
      </c>
      <c r="P59">
        <v>17783.322777777779</v>
      </c>
      <c r="Q59">
        <v>844.1</v>
      </c>
      <c r="R59">
        <v>5458.3900000000012</v>
      </c>
      <c r="S59">
        <v>23241.712777777779</v>
      </c>
      <c r="T59">
        <v>7629</v>
      </c>
      <c r="U59">
        <v>38145</v>
      </c>
      <c r="V59">
        <v>-13911.712777777779</v>
      </c>
      <c r="W59" s="31" t="str">
        <f>VLOOKUP(vehicle_data[[#This Row],[Vehicle]],upfront[],6,FALSE)</f>
        <v>Redford</v>
      </c>
    </row>
    <row r="60" spans="1:24" x14ac:dyDescent="0.45">
      <c r="A60" t="s">
        <v>126</v>
      </c>
      <c r="B60">
        <v>6</v>
      </c>
      <c r="C60">
        <v>9330</v>
      </c>
      <c r="D60">
        <v>135000</v>
      </c>
      <c r="E60">
        <v>0.28255555555555556</v>
      </c>
      <c r="F60">
        <v>4.0432518518518527E-2</v>
      </c>
      <c r="G60">
        <v>0.14242790534979424</v>
      </c>
      <c r="H60">
        <v>0.46541597942386836</v>
      </c>
      <c r="I60">
        <v>-15356.157222222224</v>
      </c>
      <c r="J60">
        <v>42534</v>
      </c>
      <c r="K60">
        <v>42898</v>
      </c>
      <c r="L60">
        <v>125000</v>
      </c>
      <c r="M60">
        <v>135000</v>
      </c>
      <c r="N60">
        <v>10000</v>
      </c>
      <c r="O60">
        <v>1444.4444444444446</v>
      </c>
      <c r="P60">
        <v>19227.767222222225</v>
      </c>
      <c r="Q60">
        <v>0</v>
      </c>
      <c r="R60">
        <v>5458.3900000000012</v>
      </c>
      <c r="S60">
        <v>24686.157222222224</v>
      </c>
      <c r="T60">
        <v>0</v>
      </c>
      <c r="U60">
        <v>38145</v>
      </c>
      <c r="V60">
        <v>-15356.157222222224</v>
      </c>
      <c r="W60" s="31" t="str">
        <f>VLOOKUP(vehicle_data[[#This Row],[Vehicle]],upfront[],6,FALSE)</f>
        <v>Redford</v>
      </c>
    </row>
    <row r="61" spans="1:24" x14ac:dyDescent="0.45">
      <c r="A61" t="s">
        <v>126</v>
      </c>
      <c r="B61">
        <v>7</v>
      </c>
      <c r="C61">
        <v>9330</v>
      </c>
      <c r="D61">
        <v>165826</v>
      </c>
      <c r="E61">
        <v>0.23003027269547599</v>
      </c>
      <c r="F61">
        <v>6.9193250756817398E-2</v>
      </c>
      <c r="G61">
        <v>0.13825870021722905</v>
      </c>
      <c r="H61">
        <v>0.4374822236695225</v>
      </c>
      <c r="I61">
        <v>-25070.927222222221</v>
      </c>
      <c r="J61">
        <v>42899</v>
      </c>
      <c r="K61">
        <v>43263</v>
      </c>
      <c r="L61">
        <v>135000</v>
      </c>
      <c r="M61">
        <v>165826</v>
      </c>
      <c r="N61">
        <v>30826</v>
      </c>
      <c r="O61">
        <v>3699.1200000000003</v>
      </c>
      <c r="P61">
        <v>22926.887222222223</v>
      </c>
      <c r="Q61">
        <v>6015.6500000000005</v>
      </c>
      <c r="R61">
        <v>11474.04</v>
      </c>
      <c r="S61">
        <v>34400.927222222221</v>
      </c>
      <c r="T61">
        <v>0</v>
      </c>
      <c r="U61">
        <v>38145</v>
      </c>
      <c r="V61">
        <v>-25070.927222222221</v>
      </c>
      <c r="W61" s="31" t="str">
        <f>VLOOKUP(vehicle_data[[#This Row],[Vehicle]],upfront[],6,FALSE)</f>
        <v>Redford</v>
      </c>
    </row>
    <row r="62" spans="1:24" x14ac:dyDescent="0.45">
      <c r="A62" t="s">
        <v>126</v>
      </c>
      <c r="B62">
        <v>8</v>
      </c>
      <c r="C62">
        <v>9330</v>
      </c>
      <c r="D62">
        <v>191088</v>
      </c>
      <c r="E62">
        <v>0.19962007033408691</v>
      </c>
      <c r="F62">
        <v>7.1240684920036851E-2</v>
      </c>
      <c r="G62">
        <v>0.13834201170839264</v>
      </c>
      <c r="H62">
        <v>0.40920276696251645</v>
      </c>
      <c r="I62">
        <v>-30718.738333333335</v>
      </c>
      <c r="J62">
        <v>43264</v>
      </c>
      <c r="K62">
        <v>43628</v>
      </c>
      <c r="L62">
        <v>165826</v>
      </c>
      <c r="M62">
        <v>191088</v>
      </c>
      <c r="N62">
        <v>25262</v>
      </c>
      <c r="O62">
        <v>3508.6111111111109</v>
      </c>
      <c r="P62">
        <v>26435.498333333333</v>
      </c>
      <c r="Q62">
        <v>2139.1999999999998</v>
      </c>
      <c r="R62">
        <v>13613.240000000002</v>
      </c>
      <c r="S62">
        <v>40048.738333333335</v>
      </c>
      <c r="T62">
        <v>0</v>
      </c>
      <c r="U62">
        <v>38145</v>
      </c>
      <c r="V62">
        <v>-30718.738333333335</v>
      </c>
      <c r="W62" s="31" t="str">
        <f>VLOOKUP(vehicle_data[[#This Row],[Vehicle]],upfront[],6,FALSE)</f>
        <v>Redford</v>
      </c>
    </row>
    <row r="63" spans="1:24" x14ac:dyDescent="0.45">
      <c r="A63" t="s">
        <v>126</v>
      </c>
      <c r="B63">
        <v>9</v>
      </c>
      <c r="C63">
        <v>9330</v>
      </c>
      <c r="D63">
        <v>200841</v>
      </c>
      <c r="E63">
        <v>0.18992635965763963</v>
      </c>
      <c r="F63">
        <v>7.5797471631788335E-2</v>
      </c>
      <c r="G63">
        <v>0.13836856850277915</v>
      </c>
      <c r="H63">
        <v>0.40409239979220712</v>
      </c>
      <c r="I63">
        <v>-33683.32166666667</v>
      </c>
      <c r="J63">
        <v>43629</v>
      </c>
      <c r="K63">
        <v>43993</v>
      </c>
      <c r="L63">
        <v>191088</v>
      </c>
      <c r="M63">
        <v>200841</v>
      </c>
      <c r="N63">
        <v>9753</v>
      </c>
      <c r="O63">
        <v>1354.5833333333335</v>
      </c>
      <c r="P63">
        <v>27790.081666666665</v>
      </c>
      <c r="Q63">
        <v>1610</v>
      </c>
      <c r="R63">
        <v>15223.240000000002</v>
      </c>
      <c r="S63">
        <v>43013.32166666667</v>
      </c>
      <c r="T63">
        <v>0</v>
      </c>
      <c r="U63">
        <v>38145</v>
      </c>
      <c r="V63">
        <v>-33683.32166666667</v>
      </c>
      <c r="W63" s="31" t="str">
        <f>VLOOKUP(vehicle_data[[#This Row],[Vehicle]],upfront[],6,FALSE)</f>
        <v>Redford</v>
      </c>
    </row>
    <row r="64" spans="1:24" x14ac:dyDescent="0.45">
      <c r="A64" t="s">
        <v>127</v>
      </c>
      <c r="B64">
        <v>1</v>
      </c>
      <c r="C64">
        <v>38982.400000000001</v>
      </c>
      <c r="D64">
        <v>30000</v>
      </c>
      <c r="E64">
        <v>0.23152</v>
      </c>
      <c r="F64">
        <v>1.8946000000000001E-2</v>
      </c>
      <c r="G64">
        <v>0.13444444444444445</v>
      </c>
      <c r="H64">
        <v>0.38491044444444444</v>
      </c>
      <c r="I64">
        <v>34380.686666666668</v>
      </c>
      <c r="J64">
        <v>41658</v>
      </c>
      <c r="K64">
        <v>42022</v>
      </c>
      <c r="L64">
        <v>0</v>
      </c>
      <c r="M64">
        <v>30000</v>
      </c>
      <c r="N64">
        <v>30000</v>
      </c>
      <c r="O64">
        <v>4033.3333333333335</v>
      </c>
      <c r="P64">
        <v>4033.3333333333335</v>
      </c>
      <c r="Q64">
        <v>568.38</v>
      </c>
      <c r="R64">
        <v>568.38</v>
      </c>
      <c r="S64">
        <v>4601.7133333333331</v>
      </c>
      <c r="T64">
        <v>6945.6</v>
      </c>
      <c r="U64">
        <v>6945.6</v>
      </c>
      <c r="V64">
        <v>34380.686666666668</v>
      </c>
      <c r="W64" s="31" t="str">
        <f>VLOOKUP(vehicle_data[[#This Row],[Vehicle]],upfront[],6,FALSE)</f>
        <v>Redford</v>
      </c>
      <c r="X64">
        <v>5</v>
      </c>
    </row>
    <row r="65" spans="1:24" x14ac:dyDescent="0.45">
      <c r="A65" t="s">
        <v>127</v>
      </c>
      <c r="B65">
        <v>2</v>
      </c>
      <c r="C65">
        <v>32036.800000000003</v>
      </c>
      <c r="D65">
        <v>44829</v>
      </c>
      <c r="E65">
        <v>0.30987084253496622</v>
      </c>
      <c r="F65">
        <v>4.8111713399808166E-2</v>
      </c>
      <c r="G65">
        <v>0.14124402358592281</v>
      </c>
      <c r="H65">
        <v>0.49922657952069721</v>
      </c>
      <c r="I65">
        <v>23548.171666666669</v>
      </c>
      <c r="J65">
        <v>42023</v>
      </c>
      <c r="K65">
        <v>42387</v>
      </c>
      <c r="L65">
        <v>31500</v>
      </c>
      <c r="M65">
        <v>46329</v>
      </c>
      <c r="N65">
        <v>14829</v>
      </c>
      <c r="O65">
        <v>2298.4950000000003</v>
      </c>
      <c r="P65">
        <v>6331.8283333333338</v>
      </c>
      <c r="Q65">
        <v>1588.42</v>
      </c>
      <c r="R65">
        <v>2156.8000000000002</v>
      </c>
      <c r="S65">
        <v>8488.628333333334</v>
      </c>
      <c r="T65">
        <v>6945.6</v>
      </c>
      <c r="U65">
        <v>13891.2</v>
      </c>
      <c r="V65">
        <v>23548.171666666669</v>
      </c>
      <c r="W65" s="31" t="str">
        <f>VLOOKUP(vehicle_data[[#This Row],[Vehicle]],upfront[],6,FALSE)</f>
        <v>Redford</v>
      </c>
    </row>
    <row r="66" spans="1:24" x14ac:dyDescent="0.45">
      <c r="A66" t="s">
        <v>127</v>
      </c>
      <c r="B66">
        <v>3</v>
      </c>
      <c r="C66">
        <v>25091.200000000004</v>
      </c>
      <c r="D66">
        <v>66446</v>
      </c>
      <c r="E66">
        <v>0.31358998284321105</v>
      </c>
      <c r="F66">
        <v>3.6697318122987092E-2</v>
      </c>
      <c r="G66">
        <v>0.14228522241954203</v>
      </c>
      <c r="H66">
        <v>0.4925725233857402</v>
      </c>
      <c r="I66">
        <v>13198.526111111114</v>
      </c>
      <c r="J66">
        <v>42388</v>
      </c>
      <c r="K66">
        <v>42752</v>
      </c>
      <c r="L66">
        <v>46329</v>
      </c>
      <c r="M66">
        <v>67946</v>
      </c>
      <c r="N66">
        <v>21617</v>
      </c>
      <c r="O66">
        <v>3122.4555555555553</v>
      </c>
      <c r="P66">
        <v>9454.2838888888891</v>
      </c>
      <c r="Q66">
        <v>281.59000000000003</v>
      </c>
      <c r="R66">
        <v>2438.3900000000003</v>
      </c>
      <c r="S66">
        <v>11892.67388888889</v>
      </c>
      <c r="T66">
        <v>6945.6</v>
      </c>
      <c r="U66">
        <v>20836.800000000003</v>
      </c>
      <c r="V66">
        <v>13198.526111111114</v>
      </c>
      <c r="W66" s="31" t="str">
        <f>VLOOKUP(vehicle_data[[#This Row],[Vehicle]],upfront[],6,FALSE)</f>
        <v>Redford</v>
      </c>
    </row>
    <row r="67" spans="1:24" x14ac:dyDescent="0.45">
      <c r="A67" t="s">
        <v>127</v>
      </c>
      <c r="B67">
        <v>4</v>
      </c>
      <c r="C67">
        <v>18145.600000000006</v>
      </c>
      <c r="D67">
        <v>93509</v>
      </c>
      <c r="E67">
        <v>0.2971093691516325</v>
      </c>
      <c r="F67">
        <v>2.9254938027355661E-2</v>
      </c>
      <c r="G67">
        <v>0.13583552266507917</v>
      </c>
      <c r="H67">
        <v>0.46219982984406738</v>
      </c>
      <c r="I67">
        <v>2708.1561111111168</v>
      </c>
      <c r="J67">
        <v>42753</v>
      </c>
      <c r="K67">
        <v>43117</v>
      </c>
      <c r="L67">
        <v>67946</v>
      </c>
      <c r="M67">
        <v>95009</v>
      </c>
      <c r="N67">
        <v>27063</v>
      </c>
      <c r="O67">
        <v>3247.5600000000004</v>
      </c>
      <c r="P67">
        <v>12701.843888888889</v>
      </c>
      <c r="Q67">
        <v>297.21000000000004</v>
      </c>
      <c r="R67">
        <v>2735.6000000000004</v>
      </c>
      <c r="S67">
        <v>15437.443888888889</v>
      </c>
      <c r="T67">
        <v>6945.6</v>
      </c>
      <c r="U67">
        <v>27782.400000000001</v>
      </c>
      <c r="V67">
        <v>2708.1561111111168</v>
      </c>
      <c r="W67" s="31" t="str">
        <f>VLOOKUP(vehicle_data[[#This Row],[Vehicle]],upfront[],6,FALSE)</f>
        <v>Redford</v>
      </c>
    </row>
    <row r="68" spans="1:24" x14ac:dyDescent="0.45">
      <c r="A68" t="s">
        <v>127</v>
      </c>
      <c r="B68">
        <v>5</v>
      </c>
      <c r="C68">
        <v>11200.000000000005</v>
      </c>
      <c r="D68">
        <v>127059</v>
      </c>
      <c r="E68">
        <v>0.27332184260855191</v>
      </c>
      <c r="F68">
        <v>2.565170511337253E-2</v>
      </c>
      <c r="G68">
        <v>0.13664176572388506</v>
      </c>
      <c r="H68">
        <v>0.4356153134458095</v>
      </c>
      <c r="I68">
        <v>-9420.8461111111046</v>
      </c>
      <c r="J68">
        <v>43118</v>
      </c>
      <c r="K68">
        <v>43482</v>
      </c>
      <c r="L68">
        <v>95009</v>
      </c>
      <c r="M68">
        <v>128559</v>
      </c>
      <c r="N68">
        <v>33550</v>
      </c>
      <c r="O68">
        <v>4659.7222222222226</v>
      </c>
      <c r="P68">
        <v>17361.566111111111</v>
      </c>
      <c r="Q68">
        <v>523.67999999999995</v>
      </c>
      <c r="R68">
        <v>3259.28</v>
      </c>
      <c r="S68">
        <v>20620.84611111111</v>
      </c>
      <c r="T68">
        <v>6945.6</v>
      </c>
      <c r="U68">
        <v>34728</v>
      </c>
      <c r="V68">
        <v>-9420.8461111111046</v>
      </c>
      <c r="W68" s="31" t="str">
        <f>VLOOKUP(vehicle_data[[#This Row],[Vehicle]],upfront[],6,FALSE)</f>
        <v>Redford</v>
      </c>
    </row>
    <row r="69" spans="1:24" x14ac:dyDescent="0.45">
      <c r="A69" t="s">
        <v>127</v>
      </c>
      <c r="B69">
        <v>6</v>
      </c>
      <c r="C69">
        <v>11200.000000000005</v>
      </c>
      <c r="D69">
        <v>155729</v>
      </c>
      <c r="E69">
        <v>0.22300278047120317</v>
      </c>
      <c r="F69">
        <v>7.5140982090683178E-2</v>
      </c>
      <c r="G69">
        <v>0.13705546529904872</v>
      </c>
      <c r="H69">
        <v>0.43519922786093507</v>
      </c>
      <c r="I69">
        <v>-21845.140555555547</v>
      </c>
      <c r="J69">
        <v>43483</v>
      </c>
      <c r="K69">
        <v>43847</v>
      </c>
      <c r="L69">
        <v>128559</v>
      </c>
      <c r="M69">
        <v>157229</v>
      </c>
      <c r="N69">
        <v>28670</v>
      </c>
      <c r="O69">
        <v>3981.9444444444443</v>
      </c>
      <c r="P69">
        <v>21343.510555555556</v>
      </c>
      <c r="Q69">
        <v>8442.35</v>
      </c>
      <c r="R69">
        <v>11701.630000000001</v>
      </c>
      <c r="S69">
        <v>33045.140555555554</v>
      </c>
      <c r="T69">
        <v>0</v>
      </c>
      <c r="U69">
        <v>34728</v>
      </c>
      <c r="V69">
        <v>-21845.140555555547</v>
      </c>
      <c r="W69" s="31" t="str">
        <f>VLOOKUP(vehicle_data[[#This Row],[Vehicle]],upfront[],6,FALSE)</f>
        <v>Redford</v>
      </c>
    </row>
    <row r="70" spans="1:24" x14ac:dyDescent="0.45">
      <c r="A70" t="s">
        <v>127</v>
      </c>
      <c r="B70">
        <v>7</v>
      </c>
      <c r="C70">
        <v>11200.000000000005</v>
      </c>
      <c r="D70">
        <v>162978</v>
      </c>
      <c r="E70">
        <v>0.21308397452416891</v>
      </c>
      <c r="F70">
        <v>7.2289695541729565E-2</v>
      </c>
      <c r="G70">
        <v>0.13837252403528222</v>
      </c>
      <c r="H70">
        <v>0.4237461941011807</v>
      </c>
      <c r="I70">
        <v>-23133.307222222218</v>
      </c>
      <c r="J70">
        <v>43848</v>
      </c>
      <c r="K70">
        <v>44212</v>
      </c>
      <c r="L70">
        <v>157229</v>
      </c>
      <c r="M70">
        <v>164478</v>
      </c>
      <c r="N70">
        <v>7249</v>
      </c>
      <c r="O70">
        <v>1208.1666666666667</v>
      </c>
      <c r="P70">
        <v>22551.677222222224</v>
      </c>
      <c r="Q70">
        <v>80</v>
      </c>
      <c r="R70">
        <v>11781.630000000001</v>
      </c>
      <c r="S70">
        <v>34333.307222222225</v>
      </c>
      <c r="T70">
        <v>0</v>
      </c>
      <c r="U70">
        <v>34728</v>
      </c>
      <c r="V70">
        <v>-23133.307222222218</v>
      </c>
      <c r="W70" s="31" t="str">
        <f>VLOOKUP(vehicle_data[[#This Row],[Vehicle]],upfront[],6,FALSE)</f>
        <v>Redford</v>
      </c>
    </row>
    <row r="71" spans="1:24" x14ac:dyDescent="0.45">
      <c r="A71" t="s">
        <v>191</v>
      </c>
      <c r="B71">
        <v>1</v>
      </c>
      <c r="C71">
        <v>44600</v>
      </c>
      <c r="D71">
        <v>32536</v>
      </c>
      <c r="E71">
        <v>0.25832923530858126</v>
      </c>
      <c r="F71">
        <v>3.6628350135234827E-2</v>
      </c>
      <c r="G71">
        <v>0.24</v>
      </c>
      <c r="H71">
        <v>0.53495758544381611</v>
      </c>
      <c r="I71">
        <v>35599.620000000003</v>
      </c>
      <c r="J71">
        <v>40679</v>
      </c>
      <c r="K71">
        <v>41043</v>
      </c>
      <c r="L71">
        <v>0</v>
      </c>
      <c r="M71">
        <v>32536</v>
      </c>
      <c r="N71">
        <v>32536</v>
      </c>
      <c r="O71">
        <v>7808.6399999999994</v>
      </c>
      <c r="P71">
        <v>7808.6399999999994</v>
      </c>
      <c r="Q71">
        <v>1191.7400000000002</v>
      </c>
      <c r="R71">
        <v>1191.7400000000002</v>
      </c>
      <c r="S71">
        <v>9000.3799999999992</v>
      </c>
      <c r="T71">
        <v>8405</v>
      </c>
      <c r="U71">
        <v>8405</v>
      </c>
      <c r="V71">
        <v>35599.620000000003</v>
      </c>
      <c r="W71" s="31" t="str">
        <f>VLOOKUP(vehicle_data[[#This Row],[Vehicle]],upfront[],6,FALSE)</f>
        <v>Redford</v>
      </c>
      <c r="X71">
        <v>4</v>
      </c>
    </row>
    <row r="72" spans="1:24" x14ac:dyDescent="0.45">
      <c r="A72" t="s">
        <v>191</v>
      </c>
      <c r="B72">
        <v>2</v>
      </c>
      <c r="C72">
        <v>36195</v>
      </c>
      <c r="D72">
        <v>55440</v>
      </c>
      <c r="E72">
        <v>0.30321067821067821</v>
      </c>
      <c r="F72">
        <v>2.5166666666666671E-2</v>
      </c>
      <c r="G72">
        <v>0.21255627705627703</v>
      </c>
      <c r="H72">
        <v>0.54093362193362193</v>
      </c>
      <c r="I72">
        <v>23015.64</v>
      </c>
      <c r="J72">
        <v>41044</v>
      </c>
      <c r="K72">
        <v>41408</v>
      </c>
      <c r="L72">
        <v>32536</v>
      </c>
      <c r="M72">
        <v>55440</v>
      </c>
      <c r="N72">
        <v>22904</v>
      </c>
      <c r="O72">
        <v>3975.4800000000005</v>
      </c>
      <c r="P72">
        <v>11784.119999999999</v>
      </c>
      <c r="Q72">
        <v>203.5</v>
      </c>
      <c r="R72">
        <v>1395.2400000000002</v>
      </c>
      <c r="S72">
        <v>13179.359999999999</v>
      </c>
      <c r="T72">
        <v>8405</v>
      </c>
      <c r="U72">
        <v>16810</v>
      </c>
      <c r="V72">
        <v>23015.64</v>
      </c>
      <c r="W72" s="31" t="str">
        <f>VLOOKUP(vehicle_data[[#This Row],[Vehicle]],upfront[],6,FALSE)</f>
        <v>Redford</v>
      </c>
    </row>
    <row r="73" spans="1:24" x14ac:dyDescent="0.45">
      <c r="A73" t="s">
        <v>191</v>
      </c>
      <c r="B73">
        <v>3</v>
      </c>
      <c r="C73">
        <v>27790</v>
      </c>
      <c r="D73">
        <v>78880</v>
      </c>
      <c r="E73">
        <v>0.31966277890466532</v>
      </c>
      <c r="F73">
        <v>3.4645283975659233E-2</v>
      </c>
      <c r="G73">
        <v>0.1948160678064329</v>
      </c>
      <c r="H73">
        <v>0.54912413068675747</v>
      </c>
      <c r="I73">
        <v>9690.0885714285723</v>
      </c>
      <c r="J73">
        <v>41409</v>
      </c>
      <c r="K73">
        <v>41773</v>
      </c>
      <c r="L73">
        <v>55440</v>
      </c>
      <c r="M73">
        <v>78880</v>
      </c>
      <c r="N73">
        <v>23440</v>
      </c>
      <c r="O73">
        <v>3582.9714285714285</v>
      </c>
      <c r="P73">
        <v>15367.091428571428</v>
      </c>
      <c r="Q73">
        <v>1337.58</v>
      </c>
      <c r="R73">
        <v>2732.82</v>
      </c>
      <c r="S73">
        <v>18099.911428571428</v>
      </c>
      <c r="T73">
        <v>8405</v>
      </c>
      <c r="U73">
        <v>25215</v>
      </c>
      <c r="V73">
        <v>9690.0885714285723</v>
      </c>
      <c r="W73" s="31" t="str">
        <f>VLOOKUP(vehicle_data[[#This Row],[Vehicle]],upfront[],6,FALSE)</f>
        <v>Redford</v>
      </c>
    </row>
    <row r="74" spans="1:24" x14ac:dyDescent="0.45">
      <c r="A74" t="s">
        <v>191</v>
      </c>
      <c r="B74">
        <v>4</v>
      </c>
      <c r="C74">
        <v>19385</v>
      </c>
      <c r="D74">
        <v>103042</v>
      </c>
      <c r="E74">
        <v>0.32627472292851456</v>
      </c>
      <c r="F74">
        <v>4.4041555870421772E-2</v>
      </c>
      <c r="G74">
        <v>0.18966698738655804</v>
      </c>
      <c r="H74">
        <v>0.55998326618549443</v>
      </c>
      <c r="I74">
        <v>-4696.7957142857158</v>
      </c>
      <c r="J74">
        <v>41774</v>
      </c>
      <c r="K74">
        <v>42138</v>
      </c>
      <c r="L74">
        <v>78880</v>
      </c>
      <c r="M74">
        <v>103042</v>
      </c>
      <c r="N74">
        <v>24162</v>
      </c>
      <c r="O74">
        <v>4176.5742857142859</v>
      </c>
      <c r="P74">
        <v>19543.665714285715</v>
      </c>
      <c r="Q74">
        <v>1805.31</v>
      </c>
      <c r="R74">
        <v>4538.13</v>
      </c>
      <c r="S74">
        <v>24081.795714285716</v>
      </c>
      <c r="T74">
        <v>8405</v>
      </c>
      <c r="U74">
        <v>33620</v>
      </c>
      <c r="V74">
        <v>-4696.7957142857158</v>
      </c>
      <c r="W74" s="31" t="str">
        <f>VLOOKUP(vehicle_data[[#This Row],[Vehicle]],upfront[],6,FALSE)</f>
        <v>Redford</v>
      </c>
    </row>
    <row r="75" spans="1:24" x14ac:dyDescent="0.45">
      <c r="A75" t="s">
        <v>191</v>
      </c>
      <c r="B75">
        <v>5</v>
      </c>
      <c r="C75">
        <v>10980</v>
      </c>
      <c r="D75">
        <v>130000</v>
      </c>
      <c r="E75">
        <v>0.32326923076923075</v>
      </c>
      <c r="F75">
        <v>4.4753230769230767E-2</v>
      </c>
      <c r="G75">
        <v>0.1916616153846154</v>
      </c>
      <c r="H75">
        <v>0.55968407692307687</v>
      </c>
      <c r="I75">
        <v>-19753.93</v>
      </c>
      <c r="J75">
        <v>42139</v>
      </c>
      <c r="K75">
        <v>42503</v>
      </c>
      <c r="L75">
        <v>103042</v>
      </c>
      <c r="M75">
        <v>130000</v>
      </c>
      <c r="N75">
        <v>26958</v>
      </c>
      <c r="O75">
        <v>5372.3442857142863</v>
      </c>
      <c r="P75">
        <v>24916.010000000002</v>
      </c>
      <c r="Q75">
        <v>1279.79</v>
      </c>
      <c r="R75">
        <v>5817.92</v>
      </c>
      <c r="S75">
        <v>30733.93</v>
      </c>
      <c r="T75">
        <v>8405</v>
      </c>
      <c r="U75">
        <v>42025</v>
      </c>
      <c r="V75">
        <v>-19753.93</v>
      </c>
      <c r="W75" s="31" t="str">
        <f>VLOOKUP(vehicle_data[[#This Row],[Vehicle]],upfront[],6,FALSE)</f>
        <v>Redford</v>
      </c>
    </row>
    <row r="76" spans="1:24" x14ac:dyDescent="0.45">
      <c r="A76" t="s">
        <v>191</v>
      </c>
      <c r="B76">
        <v>6</v>
      </c>
      <c r="C76">
        <v>10980</v>
      </c>
      <c r="D76">
        <v>162461</v>
      </c>
      <c r="E76">
        <v>0.25867746720751444</v>
      </c>
      <c r="F76">
        <v>4.2826586072965203E-2</v>
      </c>
      <c r="G76">
        <v>0.19047329161196491</v>
      </c>
      <c r="H76">
        <v>0.49197734489244455</v>
      </c>
      <c r="I76">
        <v>-26922.131428571432</v>
      </c>
      <c r="J76">
        <v>42504</v>
      </c>
      <c r="K76">
        <v>42868</v>
      </c>
      <c r="L76">
        <v>130000</v>
      </c>
      <c r="M76">
        <v>162461</v>
      </c>
      <c r="N76">
        <v>32461</v>
      </c>
      <c r="O76">
        <v>6028.471428571429</v>
      </c>
      <c r="P76">
        <v>30944.481428571431</v>
      </c>
      <c r="Q76">
        <v>1139.73</v>
      </c>
      <c r="R76">
        <v>6957.65</v>
      </c>
      <c r="S76">
        <v>37902.131428571432</v>
      </c>
      <c r="T76">
        <v>0</v>
      </c>
      <c r="U76">
        <v>42025</v>
      </c>
      <c r="V76">
        <v>-26922.131428571432</v>
      </c>
      <c r="W76" s="31" t="str">
        <f>VLOOKUP(vehicle_data[[#This Row],[Vehicle]],upfront[],6,FALSE)</f>
        <v>Redford</v>
      </c>
    </row>
    <row r="77" spans="1:24" x14ac:dyDescent="0.45">
      <c r="A77" t="s">
        <v>191</v>
      </c>
      <c r="B77">
        <v>7</v>
      </c>
      <c r="C77">
        <v>10980</v>
      </c>
      <c r="D77">
        <v>190829</v>
      </c>
      <c r="E77">
        <v>0.22022334131604734</v>
      </c>
      <c r="F77">
        <v>6.5838211173354158E-2</v>
      </c>
      <c r="G77">
        <v>0.1850937675690203</v>
      </c>
      <c r="H77">
        <v>0.47115532005842181</v>
      </c>
      <c r="I77">
        <v>-36905.098571428578</v>
      </c>
      <c r="J77">
        <v>42869</v>
      </c>
      <c r="K77">
        <v>43233</v>
      </c>
      <c r="L77">
        <v>162461</v>
      </c>
      <c r="M77">
        <v>190829</v>
      </c>
      <c r="N77">
        <v>28368</v>
      </c>
      <c r="O77">
        <v>4376.7771428571432</v>
      </c>
      <c r="P77">
        <v>35321.258571428574</v>
      </c>
      <c r="Q77">
        <v>5606.19</v>
      </c>
      <c r="R77">
        <v>12563.84</v>
      </c>
      <c r="S77">
        <v>47885.098571428578</v>
      </c>
      <c r="T77">
        <v>0</v>
      </c>
      <c r="U77">
        <v>42025</v>
      </c>
      <c r="V77">
        <v>-36905.098571428578</v>
      </c>
      <c r="W77" s="31" t="str">
        <f>VLOOKUP(vehicle_data[[#This Row],[Vehicle]],upfront[],6,FALSE)</f>
        <v>Redford</v>
      </c>
    </row>
    <row r="78" spans="1:24" x14ac:dyDescent="0.45">
      <c r="A78" t="s">
        <v>191</v>
      </c>
      <c r="B78">
        <v>8</v>
      </c>
      <c r="C78">
        <v>10980</v>
      </c>
      <c r="D78">
        <v>211831</v>
      </c>
      <c r="E78">
        <v>0.19838928202198922</v>
      </c>
      <c r="F78">
        <v>6.1229423455490463E-2</v>
      </c>
      <c r="G78">
        <v>0.18444710979170054</v>
      </c>
      <c r="H78">
        <v>0.44406581526918021</v>
      </c>
      <c r="I78">
        <v>-41061.90571428572</v>
      </c>
      <c r="J78">
        <v>43234</v>
      </c>
      <c r="K78">
        <v>43598</v>
      </c>
      <c r="L78">
        <v>190829</v>
      </c>
      <c r="M78">
        <v>211831</v>
      </c>
      <c r="N78">
        <v>21002</v>
      </c>
      <c r="O78">
        <v>3750.3571428571427</v>
      </c>
      <c r="P78">
        <v>39071.615714285719</v>
      </c>
      <c r="Q78">
        <v>406.45</v>
      </c>
      <c r="R78">
        <v>12970.29</v>
      </c>
      <c r="S78">
        <v>52041.90571428572</v>
      </c>
      <c r="T78">
        <v>0</v>
      </c>
      <c r="U78">
        <v>42025</v>
      </c>
      <c r="V78">
        <v>-41061.90571428572</v>
      </c>
      <c r="W78" s="31" t="str">
        <f>VLOOKUP(vehicle_data[[#This Row],[Vehicle]],upfront[],6,FALSE)</f>
        <v>Redford</v>
      </c>
    </row>
    <row r="79" spans="1:24" x14ac:dyDescent="0.45">
      <c r="A79" t="s">
        <v>191</v>
      </c>
      <c r="B79">
        <v>9</v>
      </c>
      <c r="C79">
        <v>10980</v>
      </c>
      <c r="D79">
        <v>236869</v>
      </c>
      <c r="E79">
        <v>0.17741874200507454</v>
      </c>
      <c r="F79">
        <v>5.897833823759125E-2</v>
      </c>
      <c r="G79">
        <v>0.18382602680324206</v>
      </c>
      <c r="H79">
        <v>0.42022310704590782</v>
      </c>
      <c r="I79">
        <v>-46532.827142857146</v>
      </c>
      <c r="J79">
        <v>43599</v>
      </c>
      <c r="K79">
        <v>43963</v>
      </c>
      <c r="L79">
        <v>211831</v>
      </c>
      <c r="M79">
        <v>236869</v>
      </c>
      <c r="N79">
        <v>25038</v>
      </c>
      <c r="O79">
        <v>4471.0714285714284</v>
      </c>
      <c r="P79">
        <v>43542.687142857147</v>
      </c>
      <c r="Q79">
        <v>999.84999999999991</v>
      </c>
      <c r="R79">
        <v>13970.140000000001</v>
      </c>
      <c r="S79">
        <v>57512.827142857146</v>
      </c>
      <c r="T79">
        <v>0</v>
      </c>
      <c r="U79">
        <v>42025</v>
      </c>
      <c r="V79">
        <v>-46532.827142857146</v>
      </c>
      <c r="W79" s="31" t="str">
        <f>VLOOKUP(vehicle_data[[#This Row],[Vehicle]],upfront[],6,FALSE)</f>
        <v>Redford</v>
      </c>
    </row>
    <row r="80" spans="1:24" x14ac:dyDescent="0.45">
      <c r="A80" t="s">
        <v>129</v>
      </c>
      <c r="B80">
        <v>1</v>
      </c>
      <c r="C80">
        <v>39980</v>
      </c>
      <c r="D80">
        <v>19600</v>
      </c>
      <c r="E80">
        <v>0.38239795918367347</v>
      </c>
      <c r="F80">
        <v>4.6877551020408159E-3</v>
      </c>
      <c r="G80">
        <v>0.25846153846153841</v>
      </c>
      <c r="H80">
        <v>0.64554725274725278</v>
      </c>
      <c r="I80">
        <v>34822.273846153847</v>
      </c>
      <c r="J80">
        <v>40647</v>
      </c>
      <c r="K80">
        <v>41011</v>
      </c>
      <c r="L80">
        <v>0</v>
      </c>
      <c r="M80">
        <v>19600</v>
      </c>
      <c r="N80">
        <v>19600</v>
      </c>
      <c r="O80">
        <v>5065.8461538461534</v>
      </c>
      <c r="P80">
        <v>5065.8461538461534</v>
      </c>
      <c r="Q80">
        <v>91.88</v>
      </c>
      <c r="R80">
        <v>91.88</v>
      </c>
      <c r="S80">
        <v>5157.7261538461535</v>
      </c>
      <c r="T80">
        <v>7495</v>
      </c>
      <c r="U80">
        <v>7495</v>
      </c>
      <c r="V80">
        <v>34822.273846153847</v>
      </c>
      <c r="W80" s="31" t="str">
        <f>VLOOKUP(vehicle_data[[#This Row],[Vehicle]],upfront[],6,FALSE)</f>
        <v>Redford</v>
      </c>
      <c r="X80">
        <v>4</v>
      </c>
    </row>
    <row r="81" spans="1:24" x14ac:dyDescent="0.45">
      <c r="A81" t="s">
        <v>129</v>
      </c>
      <c r="B81">
        <v>2</v>
      </c>
      <c r="C81">
        <v>32485</v>
      </c>
      <c r="D81">
        <v>52000</v>
      </c>
      <c r="E81">
        <v>0.28826923076923078</v>
      </c>
      <c r="F81">
        <v>9.1613461538461553E-3</v>
      </c>
      <c r="G81">
        <v>0.21388757396449706</v>
      </c>
      <c r="H81">
        <v>0.51131815088757404</v>
      </c>
      <c r="I81">
        <v>20886.456153846153</v>
      </c>
      <c r="J81">
        <v>41012</v>
      </c>
      <c r="K81">
        <v>41376</v>
      </c>
      <c r="L81">
        <v>19600</v>
      </c>
      <c r="M81">
        <v>52000</v>
      </c>
      <c r="N81">
        <v>32400</v>
      </c>
      <c r="O81">
        <v>6056.3076923076933</v>
      </c>
      <c r="P81">
        <v>11122.153846153848</v>
      </c>
      <c r="Q81">
        <v>384.51000000000005</v>
      </c>
      <c r="R81">
        <v>476.39000000000004</v>
      </c>
      <c r="S81">
        <v>11598.543846153847</v>
      </c>
      <c r="T81">
        <v>7495</v>
      </c>
      <c r="U81">
        <v>14990</v>
      </c>
      <c r="V81">
        <v>20886.456153846153</v>
      </c>
      <c r="W81" s="31" t="str">
        <f>VLOOKUP(vehicle_data[[#This Row],[Vehicle]],upfront[],6,FALSE)</f>
        <v>Redford</v>
      </c>
    </row>
    <row r="82" spans="1:24" x14ac:dyDescent="0.45">
      <c r="A82" t="s">
        <v>129</v>
      </c>
      <c r="B82">
        <v>3</v>
      </c>
      <c r="C82">
        <v>24990</v>
      </c>
      <c r="D82">
        <v>80000</v>
      </c>
      <c r="E82">
        <v>0.28106249999999999</v>
      </c>
      <c r="F82">
        <v>2.5254375000000006E-2</v>
      </c>
      <c r="G82">
        <v>0.1966423076923077</v>
      </c>
      <c r="H82">
        <v>0.50295918269230766</v>
      </c>
      <c r="I82">
        <v>7238.2653846153844</v>
      </c>
      <c r="J82">
        <v>41377</v>
      </c>
      <c r="K82">
        <v>41741</v>
      </c>
      <c r="L82">
        <v>52000</v>
      </c>
      <c r="M82">
        <v>80000</v>
      </c>
      <c r="N82">
        <v>28000</v>
      </c>
      <c r="O82">
        <v>4609.2307692307695</v>
      </c>
      <c r="P82">
        <v>15731.384615384617</v>
      </c>
      <c r="Q82">
        <v>1543.9600000000003</v>
      </c>
      <c r="R82">
        <v>2020.3500000000004</v>
      </c>
      <c r="S82">
        <v>17751.734615384616</v>
      </c>
      <c r="T82">
        <v>7495</v>
      </c>
      <c r="U82">
        <v>22485</v>
      </c>
      <c r="V82">
        <v>7238.2653846153844</v>
      </c>
      <c r="W82" s="31" t="str">
        <f>VLOOKUP(vehicle_data[[#This Row],[Vehicle]],upfront[],6,FALSE)</f>
        <v>Redford</v>
      </c>
    </row>
    <row r="83" spans="1:24" x14ac:dyDescent="0.45">
      <c r="A83" t="s">
        <v>129</v>
      </c>
      <c r="B83">
        <v>4</v>
      </c>
      <c r="C83">
        <v>17495</v>
      </c>
      <c r="D83">
        <v>105000</v>
      </c>
      <c r="E83">
        <v>0.28552380952380951</v>
      </c>
      <c r="F83">
        <v>0.10836866666666668</v>
      </c>
      <c r="G83">
        <v>0.19414505494505493</v>
      </c>
      <c r="H83">
        <v>0.58803753113553114</v>
      </c>
      <c r="I83">
        <v>-14268.940769230772</v>
      </c>
      <c r="J83">
        <v>41742</v>
      </c>
      <c r="K83">
        <v>42106</v>
      </c>
      <c r="L83">
        <v>80000</v>
      </c>
      <c r="M83">
        <v>105000</v>
      </c>
      <c r="N83">
        <v>25000</v>
      </c>
      <c r="O83">
        <v>4653.8461538461534</v>
      </c>
      <c r="P83">
        <v>20385.23076923077</v>
      </c>
      <c r="Q83">
        <v>9358.36</v>
      </c>
      <c r="R83">
        <v>11378.710000000001</v>
      </c>
      <c r="S83">
        <v>31763.940769230772</v>
      </c>
      <c r="T83">
        <v>7495</v>
      </c>
      <c r="U83">
        <v>29980</v>
      </c>
      <c r="V83">
        <v>-14268.940769230772</v>
      </c>
      <c r="W83" s="31" t="str">
        <f>VLOOKUP(vehicle_data[[#This Row],[Vehicle]],upfront[],6,FALSE)</f>
        <v>Redford</v>
      </c>
    </row>
    <row r="84" spans="1:24" x14ac:dyDescent="0.45">
      <c r="A84" t="s">
        <v>129</v>
      </c>
      <c r="B84">
        <v>5</v>
      </c>
      <c r="C84">
        <v>10000</v>
      </c>
      <c r="D84">
        <v>111395</v>
      </c>
      <c r="E84">
        <v>0.3364154585035235</v>
      </c>
      <c r="F84">
        <v>0.1391661205619642</v>
      </c>
      <c r="G84">
        <v>0.19532022221685133</v>
      </c>
      <c r="H84">
        <v>0.67090180128233901</v>
      </c>
      <c r="I84">
        <v>-27260.106153846158</v>
      </c>
      <c r="J84">
        <v>42107</v>
      </c>
      <c r="K84">
        <v>42471</v>
      </c>
      <c r="L84">
        <v>105000</v>
      </c>
      <c r="M84">
        <v>111395</v>
      </c>
      <c r="N84">
        <v>6395</v>
      </c>
      <c r="O84">
        <v>1372.4653846153847</v>
      </c>
      <c r="P84">
        <v>21757.696153846155</v>
      </c>
      <c r="Q84">
        <v>4123.7000000000007</v>
      </c>
      <c r="R84">
        <v>15502.410000000002</v>
      </c>
      <c r="S84">
        <v>37260.106153846158</v>
      </c>
      <c r="T84">
        <v>7495</v>
      </c>
      <c r="U84">
        <v>37475</v>
      </c>
      <c r="V84">
        <v>-27260.106153846158</v>
      </c>
      <c r="W84" s="31" t="str">
        <f>VLOOKUP(vehicle_data[[#This Row],[Vehicle]],upfront[],6,FALSE)</f>
        <v>Redford</v>
      </c>
    </row>
    <row r="85" spans="1:24" x14ac:dyDescent="0.45">
      <c r="A85" t="s">
        <v>129</v>
      </c>
      <c r="B85">
        <v>6</v>
      </c>
      <c r="C85">
        <v>10000</v>
      </c>
      <c r="D85">
        <v>163486</v>
      </c>
      <c r="E85">
        <v>0.22922452075407068</v>
      </c>
      <c r="F85">
        <v>0.11717841283045645</v>
      </c>
      <c r="G85">
        <v>0.19681132423477335</v>
      </c>
      <c r="H85">
        <v>0.54321425781930044</v>
      </c>
      <c r="I85">
        <v>-41332.926153846158</v>
      </c>
      <c r="J85">
        <v>42472</v>
      </c>
      <c r="K85">
        <v>42836</v>
      </c>
      <c r="L85">
        <v>111395</v>
      </c>
      <c r="M85">
        <v>163486</v>
      </c>
      <c r="N85">
        <v>52091</v>
      </c>
      <c r="O85">
        <v>10418.200000000001</v>
      </c>
      <c r="P85">
        <v>32175.896153846155</v>
      </c>
      <c r="Q85">
        <v>3654.62</v>
      </c>
      <c r="R85">
        <v>19157.030000000002</v>
      </c>
      <c r="S85">
        <v>51332.926153846158</v>
      </c>
      <c r="T85">
        <v>0</v>
      </c>
      <c r="U85">
        <v>37475</v>
      </c>
      <c r="V85">
        <v>-41332.926153846158</v>
      </c>
      <c r="W85" s="31" t="str">
        <f>VLOOKUP(vehicle_data[[#This Row],[Vehicle]],upfront[],6,FALSE)</f>
        <v>Redford</v>
      </c>
    </row>
    <row r="86" spans="1:24" x14ac:dyDescent="0.45">
      <c r="A86" t="s">
        <v>129</v>
      </c>
      <c r="B86">
        <v>7</v>
      </c>
      <c r="C86">
        <v>10000</v>
      </c>
      <c r="D86">
        <v>196702</v>
      </c>
      <c r="E86">
        <v>0.19051661904810321</v>
      </c>
      <c r="F86">
        <v>0.12786906081280314</v>
      </c>
      <c r="G86">
        <v>0.19163436217065566</v>
      </c>
      <c r="H86">
        <v>0.51002004203156204</v>
      </c>
      <c r="I86">
        <v>-52846.962307692316</v>
      </c>
      <c r="J86">
        <v>42837</v>
      </c>
      <c r="K86">
        <v>43201</v>
      </c>
      <c r="L86">
        <v>163486</v>
      </c>
      <c r="M86">
        <v>196702</v>
      </c>
      <c r="N86">
        <v>33216</v>
      </c>
      <c r="O86">
        <v>5518.9661538461542</v>
      </c>
      <c r="P86">
        <v>37694.86230769231</v>
      </c>
      <c r="Q86">
        <v>5995.07</v>
      </c>
      <c r="R86">
        <v>25152.100000000002</v>
      </c>
      <c r="S86">
        <v>62846.962307692316</v>
      </c>
      <c r="T86">
        <v>0</v>
      </c>
      <c r="U86">
        <v>37475</v>
      </c>
      <c r="V86">
        <v>-52846.962307692316</v>
      </c>
      <c r="W86" s="31" t="str">
        <f>VLOOKUP(vehicle_data[[#This Row],[Vehicle]],upfront[],6,FALSE)</f>
        <v>Redford</v>
      </c>
    </row>
    <row r="87" spans="1:24" x14ac:dyDescent="0.45">
      <c r="A87" t="s">
        <v>129</v>
      </c>
      <c r="B87">
        <v>8</v>
      </c>
      <c r="C87">
        <v>10000</v>
      </c>
      <c r="D87">
        <v>221681</v>
      </c>
      <c r="E87">
        <v>0.16904921937378486</v>
      </c>
      <c r="F87">
        <v>0.12451139249642505</v>
      </c>
      <c r="G87">
        <v>0.19171023296469319</v>
      </c>
      <c r="H87">
        <v>0.48527084483490313</v>
      </c>
      <c r="I87">
        <v>-60100.326153846152</v>
      </c>
      <c r="J87">
        <v>43202</v>
      </c>
      <c r="K87">
        <v>43566</v>
      </c>
      <c r="L87">
        <v>196702</v>
      </c>
      <c r="M87">
        <v>221681</v>
      </c>
      <c r="N87">
        <v>24979</v>
      </c>
      <c r="O87">
        <v>4803.6538461538466</v>
      </c>
      <c r="P87">
        <v>42498.516153846154</v>
      </c>
      <c r="Q87">
        <v>2449.71</v>
      </c>
      <c r="R87">
        <v>27601.81</v>
      </c>
      <c r="S87">
        <v>70100.326153846152</v>
      </c>
      <c r="T87">
        <v>0</v>
      </c>
      <c r="U87">
        <v>37475</v>
      </c>
      <c r="V87">
        <v>-60100.326153846152</v>
      </c>
      <c r="W87" s="31" t="str">
        <f>VLOOKUP(vehicle_data[[#This Row],[Vehicle]],upfront[],6,FALSE)</f>
        <v>Redford</v>
      </c>
    </row>
    <row r="88" spans="1:24" x14ac:dyDescent="0.45">
      <c r="A88" t="s">
        <v>129</v>
      </c>
      <c r="B88">
        <v>9</v>
      </c>
      <c r="C88">
        <v>10000</v>
      </c>
      <c r="D88">
        <v>258096</v>
      </c>
      <c r="E88">
        <v>0.14519791085487571</v>
      </c>
      <c r="F88">
        <v>0.10932652966338108</v>
      </c>
      <c r="G88">
        <v>0.19179452904822536</v>
      </c>
      <c r="H88">
        <v>0.44631896956648215</v>
      </c>
      <c r="I88">
        <v>-67718.140769230769</v>
      </c>
      <c r="J88">
        <v>43567</v>
      </c>
      <c r="K88">
        <v>43931</v>
      </c>
      <c r="L88">
        <v>221681</v>
      </c>
      <c r="M88">
        <v>258096</v>
      </c>
      <c r="N88">
        <v>36415</v>
      </c>
      <c r="O88">
        <v>7002.8846153846152</v>
      </c>
      <c r="P88">
        <v>49501.400769230771</v>
      </c>
      <c r="Q88">
        <v>614.92999999999995</v>
      </c>
      <c r="R88">
        <v>28216.74</v>
      </c>
      <c r="S88">
        <v>77718.140769230769</v>
      </c>
      <c r="T88">
        <v>0</v>
      </c>
      <c r="U88">
        <v>37475</v>
      </c>
      <c r="V88">
        <v>-67718.140769230769</v>
      </c>
      <c r="W88" s="31" t="str">
        <f>VLOOKUP(vehicle_data[[#This Row],[Vehicle]],upfront[],6,FALSE)</f>
        <v>Redford</v>
      </c>
    </row>
    <row r="89" spans="1:24" x14ac:dyDescent="0.45">
      <c r="A89" t="s">
        <v>130</v>
      </c>
      <c r="B89">
        <v>1</v>
      </c>
      <c r="C89">
        <v>40704</v>
      </c>
      <c r="D89">
        <v>25947</v>
      </c>
      <c r="E89">
        <v>0.2958338150845955</v>
      </c>
      <c r="F89">
        <v>6.4530003468609098E-2</v>
      </c>
      <c r="G89">
        <v>0.25846153846153846</v>
      </c>
      <c r="H89">
        <v>0.61882535701474306</v>
      </c>
      <c r="I89">
        <v>32323.338461538464</v>
      </c>
      <c r="J89">
        <v>40751</v>
      </c>
      <c r="K89">
        <v>41115</v>
      </c>
      <c r="L89">
        <v>0</v>
      </c>
      <c r="M89">
        <v>25947</v>
      </c>
      <c r="N89">
        <v>25947</v>
      </c>
      <c r="O89">
        <v>6706.3015384615383</v>
      </c>
      <c r="P89">
        <v>6706.3015384615383</v>
      </c>
      <c r="Q89">
        <v>1674.3600000000001</v>
      </c>
      <c r="R89">
        <v>1674.3600000000001</v>
      </c>
      <c r="S89">
        <v>8380.6615384615379</v>
      </c>
      <c r="T89">
        <v>7676</v>
      </c>
      <c r="U89">
        <v>7676</v>
      </c>
      <c r="V89">
        <v>32323.338461538464</v>
      </c>
      <c r="W89" s="31" t="str">
        <f>VLOOKUP(vehicle_data[[#This Row],[Vehicle]],upfront[],6,FALSE)</f>
        <v>Redford</v>
      </c>
      <c r="X89">
        <v>4</v>
      </c>
    </row>
    <row r="90" spans="1:24" x14ac:dyDescent="0.45">
      <c r="A90" t="s">
        <v>130</v>
      </c>
      <c r="B90">
        <v>2</v>
      </c>
      <c r="C90">
        <v>33028</v>
      </c>
      <c r="D90">
        <v>60154</v>
      </c>
      <c r="E90">
        <v>0.25521162349968413</v>
      </c>
      <c r="F90">
        <v>4.8750041559996016E-2</v>
      </c>
      <c r="G90">
        <v>0.21778068342536208</v>
      </c>
      <c r="H90">
        <v>0.5217423484850422</v>
      </c>
      <c r="I90">
        <v>16995.110769230771</v>
      </c>
      <c r="J90">
        <v>41116</v>
      </c>
      <c r="K90">
        <v>41480</v>
      </c>
      <c r="L90">
        <v>25947</v>
      </c>
      <c r="M90">
        <v>60154</v>
      </c>
      <c r="N90">
        <v>34207</v>
      </c>
      <c r="O90">
        <v>6394.0776923076928</v>
      </c>
      <c r="P90">
        <v>13100.379230769231</v>
      </c>
      <c r="Q90">
        <v>1258.1500000000001</v>
      </c>
      <c r="R90">
        <v>2932.51</v>
      </c>
      <c r="S90">
        <v>16032.889230769231</v>
      </c>
      <c r="T90">
        <v>7676</v>
      </c>
      <c r="U90">
        <v>15352</v>
      </c>
      <c r="V90">
        <v>16995.110769230771</v>
      </c>
      <c r="W90" s="31" t="str">
        <f>VLOOKUP(vehicle_data[[#This Row],[Vehicle]],upfront[],6,FALSE)</f>
        <v>Redford</v>
      </c>
    </row>
    <row r="91" spans="1:24" x14ac:dyDescent="0.45">
      <c r="A91" t="s">
        <v>130</v>
      </c>
      <c r="B91">
        <v>3</v>
      </c>
      <c r="C91">
        <v>25352</v>
      </c>
      <c r="D91">
        <v>95162</v>
      </c>
      <c r="E91">
        <v>0.24198734789096488</v>
      </c>
      <c r="F91">
        <v>6.1068073390639126E-2</v>
      </c>
      <c r="G91">
        <v>0.19822234311368631</v>
      </c>
      <c r="H91">
        <v>0.50127776439529037</v>
      </c>
      <c r="I91">
        <v>677.40538461538381</v>
      </c>
      <c r="J91">
        <v>41481</v>
      </c>
      <c r="K91">
        <v>41845</v>
      </c>
      <c r="L91">
        <v>60154</v>
      </c>
      <c r="M91">
        <v>95162</v>
      </c>
      <c r="N91">
        <v>35008</v>
      </c>
      <c r="O91">
        <v>5762.8553846153854</v>
      </c>
      <c r="P91">
        <v>18863.234615384616</v>
      </c>
      <c r="Q91">
        <v>2878.85</v>
      </c>
      <c r="R91">
        <v>5811.3600000000006</v>
      </c>
      <c r="S91">
        <v>24674.594615384616</v>
      </c>
      <c r="T91">
        <v>7676</v>
      </c>
      <c r="U91">
        <v>23028</v>
      </c>
      <c r="V91">
        <v>677.40538461538381</v>
      </c>
      <c r="W91" s="31" t="str">
        <f>VLOOKUP(vehicle_data[[#This Row],[Vehicle]],upfront[],6,FALSE)</f>
        <v>Redford</v>
      </c>
    </row>
    <row r="92" spans="1:24" x14ac:dyDescent="0.45">
      <c r="A92" t="s">
        <v>130</v>
      </c>
      <c r="B92">
        <v>4</v>
      </c>
      <c r="C92">
        <v>17676</v>
      </c>
      <c r="D92">
        <v>124459</v>
      </c>
      <c r="E92">
        <v>0.24669971637246002</v>
      </c>
      <c r="F92">
        <v>6.6327786660667368E-2</v>
      </c>
      <c r="G92">
        <v>0.19538148182255879</v>
      </c>
      <c r="H92">
        <v>0.5084089848556862</v>
      </c>
      <c r="I92">
        <v>-14896.073846153846</v>
      </c>
      <c r="J92">
        <v>41846</v>
      </c>
      <c r="K92">
        <v>42210</v>
      </c>
      <c r="L92">
        <v>95162</v>
      </c>
      <c r="M92">
        <v>124459</v>
      </c>
      <c r="N92">
        <v>29297</v>
      </c>
      <c r="O92">
        <v>5453.749230769231</v>
      </c>
      <c r="P92">
        <v>24316.983846153846</v>
      </c>
      <c r="Q92">
        <v>2443.7300000000005</v>
      </c>
      <c r="R92">
        <v>8255.09</v>
      </c>
      <c r="S92">
        <v>32572.073846153846</v>
      </c>
      <c r="T92">
        <v>7676</v>
      </c>
      <c r="U92">
        <v>30704</v>
      </c>
      <c r="V92">
        <v>-14896.073846153846</v>
      </c>
      <c r="W92" s="31" t="str">
        <f>VLOOKUP(vehicle_data[[#This Row],[Vehicle]],upfront[],6,FALSE)</f>
        <v>Redford</v>
      </c>
    </row>
    <row r="93" spans="1:24" x14ac:dyDescent="0.45">
      <c r="A93" t="s">
        <v>130</v>
      </c>
      <c r="B93">
        <v>5</v>
      </c>
      <c r="C93">
        <v>10000</v>
      </c>
      <c r="D93">
        <v>154315</v>
      </c>
      <c r="E93">
        <v>0.24871205002754107</v>
      </c>
      <c r="F93">
        <v>6.0104915270712503E-2</v>
      </c>
      <c r="G93">
        <v>0.19910274937129099</v>
      </c>
      <c r="H93">
        <v>0.50791971466954455</v>
      </c>
      <c r="I93">
        <v>-29999.630769230775</v>
      </c>
      <c r="J93">
        <v>42211</v>
      </c>
      <c r="K93">
        <v>42575</v>
      </c>
      <c r="L93">
        <v>124459</v>
      </c>
      <c r="M93">
        <v>154315</v>
      </c>
      <c r="N93">
        <v>29856</v>
      </c>
      <c r="O93">
        <v>6407.5569230769233</v>
      </c>
      <c r="P93">
        <v>30724.540769230771</v>
      </c>
      <c r="Q93">
        <v>1020</v>
      </c>
      <c r="R93">
        <v>9275.09</v>
      </c>
      <c r="S93">
        <v>39999.630769230775</v>
      </c>
      <c r="T93">
        <v>7676</v>
      </c>
      <c r="U93">
        <v>38380</v>
      </c>
      <c r="V93">
        <v>-29999.630769230775</v>
      </c>
      <c r="W93" s="31" t="str">
        <f>VLOOKUP(vehicle_data[[#This Row],[Vehicle]],upfront[],6,FALSE)</f>
        <v>Redford</v>
      </c>
    </row>
    <row r="94" spans="1:24" x14ac:dyDescent="0.45">
      <c r="A94" t="s">
        <v>130</v>
      </c>
      <c r="B94">
        <v>6</v>
      </c>
      <c r="C94">
        <v>10000</v>
      </c>
      <c r="D94">
        <v>196333</v>
      </c>
      <c r="E94">
        <v>0.19548420285942761</v>
      </c>
      <c r="F94">
        <v>5.0810510713940098E-2</v>
      </c>
      <c r="G94">
        <v>0.19929477351861771</v>
      </c>
      <c r="H94">
        <v>0.44558948709198543</v>
      </c>
      <c r="I94">
        <v>-39103.920769230768</v>
      </c>
      <c r="J94">
        <v>42576</v>
      </c>
      <c r="K94">
        <v>42940</v>
      </c>
      <c r="L94">
        <v>154315</v>
      </c>
      <c r="M94">
        <v>196333</v>
      </c>
      <c r="N94">
        <v>42018</v>
      </c>
      <c r="O94">
        <v>8403.6</v>
      </c>
      <c r="P94">
        <v>39128.140769230769</v>
      </c>
      <c r="Q94">
        <v>700.69</v>
      </c>
      <c r="R94">
        <v>9975.7800000000007</v>
      </c>
      <c r="S94">
        <v>49103.920769230768</v>
      </c>
      <c r="T94">
        <v>0</v>
      </c>
      <c r="U94">
        <v>38380</v>
      </c>
      <c r="V94">
        <v>-39103.920769230768</v>
      </c>
      <c r="W94" s="31" t="str">
        <f>VLOOKUP(vehicle_data[[#This Row],[Vehicle]],upfront[],6,FALSE)</f>
        <v>Redford</v>
      </c>
    </row>
    <row r="95" spans="1:24" x14ac:dyDescent="0.45">
      <c r="A95" t="s">
        <v>130</v>
      </c>
      <c r="B95">
        <v>7</v>
      </c>
      <c r="C95">
        <v>10000</v>
      </c>
      <c r="D95">
        <v>237195</v>
      </c>
      <c r="E95">
        <v>0.16180779527393074</v>
      </c>
      <c r="F95">
        <v>6.2265477771453873E-2</v>
      </c>
      <c r="G95">
        <v>0.19358552764927267</v>
      </c>
      <c r="H95">
        <v>0.41765880069465727</v>
      </c>
      <c r="I95">
        <v>-50686.579230769232</v>
      </c>
      <c r="J95">
        <v>42941</v>
      </c>
      <c r="K95">
        <v>43305</v>
      </c>
      <c r="L95">
        <v>196333</v>
      </c>
      <c r="M95">
        <v>237195</v>
      </c>
      <c r="N95">
        <v>40862</v>
      </c>
      <c r="O95">
        <v>6789.378461538462</v>
      </c>
      <c r="P95">
        <v>45917.519230769234</v>
      </c>
      <c r="Q95">
        <v>4793.2800000000007</v>
      </c>
      <c r="R95">
        <v>14769.060000000001</v>
      </c>
      <c r="S95">
        <v>60686.579230769232</v>
      </c>
      <c r="T95">
        <v>0</v>
      </c>
      <c r="U95">
        <v>38380</v>
      </c>
      <c r="V95">
        <v>-50686.579230769232</v>
      </c>
      <c r="W95" s="31" t="str">
        <f>VLOOKUP(vehicle_data[[#This Row],[Vehicle]],upfront[],6,FALSE)</f>
        <v>Redford</v>
      </c>
    </row>
    <row r="96" spans="1:24" x14ac:dyDescent="0.45">
      <c r="A96" t="s">
        <v>130</v>
      </c>
      <c r="B96">
        <v>8</v>
      </c>
      <c r="C96">
        <v>10000</v>
      </c>
      <c r="D96">
        <v>256002</v>
      </c>
      <c r="E96">
        <v>0.149920703744502</v>
      </c>
      <c r="F96">
        <v>6.4285435270036953E-2</v>
      </c>
      <c r="G96">
        <v>0.19349165240896554</v>
      </c>
      <c r="H96">
        <v>0.40769779142350449</v>
      </c>
      <c r="I96">
        <v>-55991.45</v>
      </c>
      <c r="J96">
        <v>43306</v>
      </c>
      <c r="K96">
        <v>43670</v>
      </c>
      <c r="L96">
        <v>237195</v>
      </c>
      <c r="M96">
        <v>256002</v>
      </c>
      <c r="N96">
        <v>18807</v>
      </c>
      <c r="O96">
        <v>3616.7307692307691</v>
      </c>
      <c r="P96">
        <v>49534.25</v>
      </c>
      <c r="Q96">
        <v>1688.1399999999999</v>
      </c>
      <c r="R96">
        <v>16457.2</v>
      </c>
      <c r="S96">
        <v>65991.45</v>
      </c>
      <c r="T96">
        <v>0</v>
      </c>
      <c r="U96">
        <v>38380</v>
      </c>
      <c r="V96">
        <v>-55991.45</v>
      </c>
      <c r="W96" s="31" t="str">
        <f>VLOOKUP(vehicle_data[[#This Row],[Vehicle]],upfront[],6,FALSE)</f>
        <v>Redford</v>
      </c>
    </row>
    <row r="97" spans="1:24" x14ac:dyDescent="0.45">
      <c r="A97" t="s">
        <v>130</v>
      </c>
      <c r="B97">
        <v>9</v>
      </c>
      <c r="C97">
        <v>10000</v>
      </c>
      <c r="D97">
        <v>273776</v>
      </c>
      <c r="E97">
        <v>0.14018759862077027</v>
      </c>
      <c r="F97">
        <v>6.3024662497808429E-2</v>
      </c>
      <c r="G97">
        <v>0.19341478772089929</v>
      </c>
      <c r="H97">
        <v>0.39662704883947797</v>
      </c>
      <c r="I97">
        <v>-60206.966923076921</v>
      </c>
      <c r="J97">
        <v>43671</v>
      </c>
      <c r="K97">
        <v>44035</v>
      </c>
      <c r="L97">
        <v>256002</v>
      </c>
      <c r="M97">
        <v>273776</v>
      </c>
      <c r="N97">
        <v>17774</v>
      </c>
      <c r="O97">
        <v>3418.0769230769233</v>
      </c>
      <c r="P97">
        <v>52952.326923076922</v>
      </c>
      <c r="Q97">
        <v>797.44</v>
      </c>
      <c r="R97">
        <v>17254.64</v>
      </c>
      <c r="S97">
        <v>70206.966923076921</v>
      </c>
      <c r="T97">
        <v>0</v>
      </c>
      <c r="U97">
        <v>38380</v>
      </c>
      <c r="V97">
        <v>-60206.966923076921</v>
      </c>
      <c r="W97" s="31" t="str">
        <f>VLOOKUP(vehicle_data[[#This Row],[Vehicle]],upfront[],6,FALSE)</f>
        <v>Redford</v>
      </c>
    </row>
    <row r="98" spans="1:24" x14ac:dyDescent="0.45">
      <c r="A98" t="s">
        <v>131</v>
      </c>
      <c r="B98">
        <v>1</v>
      </c>
      <c r="C98">
        <v>44494</v>
      </c>
      <c r="D98">
        <v>22123</v>
      </c>
      <c r="E98">
        <v>0.38471274239479275</v>
      </c>
      <c r="F98">
        <v>6.1054106585906069E-3</v>
      </c>
      <c r="G98">
        <v>0.24000000000000002</v>
      </c>
      <c r="H98">
        <v>0.6308181530533834</v>
      </c>
      <c r="I98">
        <v>39049.410000000003</v>
      </c>
      <c r="J98">
        <v>40654</v>
      </c>
      <c r="K98">
        <v>41018</v>
      </c>
      <c r="L98">
        <v>0</v>
      </c>
      <c r="M98">
        <v>22123</v>
      </c>
      <c r="N98">
        <v>22123</v>
      </c>
      <c r="O98">
        <v>5309.52</v>
      </c>
      <c r="P98">
        <v>5309.52</v>
      </c>
      <c r="Q98">
        <v>135.07</v>
      </c>
      <c r="R98">
        <v>135.07</v>
      </c>
      <c r="S98">
        <v>5444.59</v>
      </c>
      <c r="T98">
        <v>8511</v>
      </c>
      <c r="U98">
        <v>8511</v>
      </c>
      <c r="V98">
        <v>39049.410000000003</v>
      </c>
      <c r="W98" s="31" t="str">
        <f>VLOOKUP(vehicle_data[[#This Row],[Vehicle]],upfront[],6,FALSE)</f>
        <v>Redford</v>
      </c>
      <c r="X98">
        <v>4</v>
      </c>
    </row>
    <row r="99" spans="1:24" x14ac:dyDescent="0.45">
      <c r="A99" t="s">
        <v>131</v>
      </c>
      <c r="B99">
        <v>2</v>
      </c>
      <c r="C99">
        <v>35983</v>
      </c>
      <c r="D99">
        <v>60682</v>
      </c>
      <c r="E99">
        <v>0.28051151906660954</v>
      </c>
      <c r="F99">
        <v>5.3019017171484131E-3</v>
      </c>
      <c r="G99">
        <v>0.19778947157782731</v>
      </c>
      <c r="H99">
        <v>0.48360289236158527</v>
      </c>
      <c r="I99">
        <v>23659.009285714284</v>
      </c>
      <c r="J99">
        <v>41019</v>
      </c>
      <c r="K99">
        <v>41383</v>
      </c>
      <c r="L99">
        <v>22123</v>
      </c>
      <c r="M99">
        <v>60682</v>
      </c>
      <c r="N99">
        <v>38559</v>
      </c>
      <c r="O99">
        <v>6692.7407142857146</v>
      </c>
      <c r="P99">
        <v>12002.260714285716</v>
      </c>
      <c r="Q99">
        <v>186.66000000000003</v>
      </c>
      <c r="R99">
        <v>321.73</v>
      </c>
      <c r="S99">
        <v>12323.990714285716</v>
      </c>
      <c r="T99">
        <v>8511</v>
      </c>
      <c r="U99">
        <v>17022</v>
      </c>
      <c r="V99">
        <v>23659.009285714284</v>
      </c>
      <c r="W99" s="31" t="str">
        <f>VLOOKUP(vehicle_data[[#This Row],[Vehicle]],upfront[],6,FALSE)</f>
        <v>Redford</v>
      </c>
    </row>
    <row r="100" spans="1:24" x14ac:dyDescent="0.45">
      <c r="A100" t="s">
        <v>131</v>
      </c>
      <c r="B100">
        <v>3</v>
      </c>
      <c r="C100">
        <v>27472</v>
      </c>
      <c r="D100">
        <v>88069</v>
      </c>
      <c r="E100">
        <v>0.28992040332012398</v>
      </c>
      <c r="F100">
        <v>2.342174885601063E-2</v>
      </c>
      <c r="G100">
        <v>0.1838167719142296</v>
      </c>
      <c r="H100">
        <v>0.49715892409036422</v>
      </c>
      <c r="I100">
        <v>9220.710714285713</v>
      </c>
      <c r="J100">
        <v>41384</v>
      </c>
      <c r="K100">
        <v>41748</v>
      </c>
      <c r="L100">
        <v>60682</v>
      </c>
      <c r="M100">
        <v>88069</v>
      </c>
      <c r="N100">
        <v>27387</v>
      </c>
      <c r="O100">
        <v>4186.2985714285714</v>
      </c>
      <c r="P100">
        <v>16188.559285714287</v>
      </c>
      <c r="Q100">
        <v>1741</v>
      </c>
      <c r="R100">
        <v>2062.73</v>
      </c>
      <c r="S100">
        <v>18251.289285714287</v>
      </c>
      <c r="T100">
        <v>8511</v>
      </c>
      <c r="U100">
        <v>25533</v>
      </c>
      <c r="V100">
        <v>9220.710714285713</v>
      </c>
      <c r="W100" s="31" t="str">
        <f>VLOOKUP(vehicle_data[[#This Row],[Vehicle]],upfront[],6,FALSE)</f>
        <v>Redford</v>
      </c>
    </row>
    <row r="101" spans="1:24" x14ac:dyDescent="0.45">
      <c r="A101" t="s">
        <v>131</v>
      </c>
      <c r="B101">
        <v>4</v>
      </c>
      <c r="C101">
        <v>18961</v>
      </c>
      <c r="D101">
        <v>113482</v>
      </c>
      <c r="E101">
        <v>0.29999471281789181</v>
      </c>
      <c r="F101">
        <v>2.2220968964241024E-2</v>
      </c>
      <c r="G101">
        <v>0.18136248794648366</v>
      </c>
      <c r="H101">
        <v>0.50357816972861646</v>
      </c>
      <c r="I101">
        <v>-4142.0578571428596</v>
      </c>
      <c r="J101">
        <v>41749</v>
      </c>
      <c r="K101">
        <v>42113</v>
      </c>
      <c r="L101">
        <v>88069</v>
      </c>
      <c r="M101">
        <v>113482</v>
      </c>
      <c r="N101">
        <v>25413</v>
      </c>
      <c r="O101">
        <v>4392.8185714285719</v>
      </c>
      <c r="P101">
        <v>20581.377857142859</v>
      </c>
      <c r="Q101">
        <v>458.95</v>
      </c>
      <c r="R101">
        <v>2521.6799999999998</v>
      </c>
      <c r="S101">
        <v>23103.05785714286</v>
      </c>
      <c r="T101">
        <v>8511</v>
      </c>
      <c r="U101">
        <v>34044</v>
      </c>
      <c r="V101">
        <v>-4142.0578571428596</v>
      </c>
      <c r="W101" s="31" t="str">
        <f>VLOOKUP(vehicle_data[[#This Row],[Vehicle]],upfront[],6,FALSE)</f>
        <v>Redford</v>
      </c>
    </row>
    <row r="102" spans="1:24" x14ac:dyDescent="0.45">
      <c r="A102" t="s">
        <v>131</v>
      </c>
      <c r="B102">
        <v>5</v>
      </c>
      <c r="C102">
        <v>10450</v>
      </c>
      <c r="D102">
        <v>140122</v>
      </c>
      <c r="E102">
        <v>0.3036996331768031</v>
      </c>
      <c r="F102">
        <v>2.342016242988253E-2</v>
      </c>
      <c r="G102">
        <v>0.18477005242370426</v>
      </c>
      <c r="H102">
        <v>0.51188984803038995</v>
      </c>
      <c r="I102">
        <v>-18722.029285714289</v>
      </c>
      <c r="J102">
        <v>42114</v>
      </c>
      <c r="K102">
        <v>42478</v>
      </c>
      <c r="L102">
        <v>113482</v>
      </c>
      <c r="M102">
        <v>140122</v>
      </c>
      <c r="N102">
        <v>26640</v>
      </c>
      <c r="O102">
        <v>5308.971428571429</v>
      </c>
      <c r="P102">
        <v>25890.349285714288</v>
      </c>
      <c r="Q102">
        <v>760</v>
      </c>
      <c r="R102">
        <v>3281.68</v>
      </c>
      <c r="S102">
        <v>29172.029285714289</v>
      </c>
      <c r="T102">
        <v>8511</v>
      </c>
      <c r="U102">
        <v>42555</v>
      </c>
      <c r="V102">
        <v>-18722.029285714289</v>
      </c>
      <c r="W102" s="31" t="str">
        <f>VLOOKUP(vehicle_data[[#This Row],[Vehicle]],upfront[],6,FALSE)</f>
        <v>Redford</v>
      </c>
    </row>
    <row r="103" spans="1:24" x14ac:dyDescent="0.45">
      <c r="A103" t="s">
        <v>131</v>
      </c>
      <c r="B103">
        <v>6</v>
      </c>
      <c r="C103">
        <v>10450</v>
      </c>
      <c r="D103">
        <v>175562</v>
      </c>
      <c r="E103">
        <v>0.24239300076326312</v>
      </c>
      <c r="F103">
        <v>2.5474020573928297E-2</v>
      </c>
      <c r="G103">
        <v>0.18496066102817565</v>
      </c>
      <c r="H103">
        <v>0.45282768236536708</v>
      </c>
      <c r="I103">
        <v>-26494.333571428571</v>
      </c>
      <c r="J103">
        <v>42479</v>
      </c>
      <c r="K103">
        <v>42843</v>
      </c>
      <c r="L103">
        <v>140122</v>
      </c>
      <c r="M103">
        <v>175562</v>
      </c>
      <c r="N103">
        <v>35440</v>
      </c>
      <c r="O103">
        <v>6581.7142857142862</v>
      </c>
      <c r="P103">
        <v>32472.063571428575</v>
      </c>
      <c r="Q103">
        <v>1190.5899999999999</v>
      </c>
      <c r="R103">
        <v>4472.2699999999995</v>
      </c>
      <c r="S103">
        <v>36944.333571428571</v>
      </c>
      <c r="T103">
        <v>0</v>
      </c>
      <c r="U103">
        <v>42555</v>
      </c>
      <c r="V103">
        <v>-26494.333571428571</v>
      </c>
      <c r="W103" s="31" t="str">
        <f>VLOOKUP(vehicle_data[[#This Row],[Vehicle]],upfront[],6,FALSE)</f>
        <v>Redford</v>
      </c>
    </row>
    <row r="104" spans="1:24" x14ac:dyDescent="0.45">
      <c r="A104" t="s">
        <v>131</v>
      </c>
      <c r="B104">
        <v>7</v>
      </c>
      <c r="C104">
        <v>10450</v>
      </c>
      <c r="D104">
        <v>191825</v>
      </c>
      <c r="E104">
        <v>0.22184282549198489</v>
      </c>
      <c r="F104">
        <v>7.3011182066988131E-2</v>
      </c>
      <c r="G104">
        <v>0.18236002681015065</v>
      </c>
      <c r="H104">
        <v>0.47721403436912369</v>
      </c>
      <c r="I104">
        <v>-38536.582142857151</v>
      </c>
      <c r="J104">
        <v>42844</v>
      </c>
      <c r="K104">
        <v>43208</v>
      </c>
      <c r="L104">
        <v>175562</v>
      </c>
      <c r="M104">
        <v>191825</v>
      </c>
      <c r="N104">
        <v>16263</v>
      </c>
      <c r="O104">
        <v>2509.1485714285714</v>
      </c>
      <c r="P104">
        <v>34981.212142857148</v>
      </c>
      <c r="Q104">
        <v>9533.1</v>
      </c>
      <c r="R104">
        <v>14005.369999999999</v>
      </c>
      <c r="S104">
        <v>48986.582142857151</v>
      </c>
      <c r="T104">
        <v>0</v>
      </c>
      <c r="U104">
        <v>42555</v>
      </c>
      <c r="V104">
        <v>-38536.582142857151</v>
      </c>
      <c r="W104" s="31" t="str">
        <f>VLOOKUP(vehicle_data[[#This Row],[Vehicle]],upfront[],6,FALSE)</f>
        <v>Redford</v>
      </c>
    </row>
    <row r="105" spans="1:24" x14ac:dyDescent="0.45">
      <c r="A105" t="s">
        <v>131</v>
      </c>
      <c r="B105">
        <v>8</v>
      </c>
      <c r="C105">
        <v>10450</v>
      </c>
      <c r="D105">
        <v>211274</v>
      </c>
      <c r="E105">
        <v>0.20142090366064921</v>
      </c>
      <c r="F105">
        <v>9.5074926398894324E-2</v>
      </c>
      <c r="G105">
        <v>0.18201126431620959</v>
      </c>
      <c r="H105">
        <v>0.47850709437575312</v>
      </c>
      <c r="I105">
        <v>-48091.107857142866</v>
      </c>
      <c r="J105">
        <v>43209</v>
      </c>
      <c r="K105">
        <v>43573</v>
      </c>
      <c r="L105">
        <v>191825</v>
      </c>
      <c r="M105">
        <v>211274</v>
      </c>
      <c r="N105">
        <v>19449</v>
      </c>
      <c r="O105">
        <v>3473.0357142857147</v>
      </c>
      <c r="P105">
        <v>38454.247857142866</v>
      </c>
      <c r="Q105">
        <v>6081.49</v>
      </c>
      <c r="R105">
        <v>20086.86</v>
      </c>
      <c r="S105">
        <v>58541.107857142866</v>
      </c>
      <c r="T105">
        <v>0</v>
      </c>
      <c r="U105">
        <v>42555</v>
      </c>
      <c r="V105">
        <v>-48091.107857142866</v>
      </c>
      <c r="W105" s="31" t="str">
        <f>VLOOKUP(vehicle_data[[#This Row],[Vehicle]],upfront[],6,FALSE)</f>
        <v>Redford</v>
      </c>
    </row>
    <row r="106" spans="1:24" x14ac:dyDescent="0.45">
      <c r="A106" t="s">
        <v>131</v>
      </c>
      <c r="B106">
        <v>9</v>
      </c>
      <c r="C106">
        <v>10450</v>
      </c>
      <c r="D106">
        <v>241863</v>
      </c>
      <c r="E106">
        <v>0.17594671363540518</v>
      </c>
      <c r="F106">
        <v>8.5005933110893356E-2</v>
      </c>
      <c r="G106">
        <v>0.18157621994978271</v>
      </c>
      <c r="H106">
        <v>0.44252886669608127</v>
      </c>
      <c r="I106">
        <v>-54026.359285714294</v>
      </c>
      <c r="J106">
        <v>43574</v>
      </c>
      <c r="K106">
        <v>43938</v>
      </c>
      <c r="L106">
        <v>211274</v>
      </c>
      <c r="M106">
        <v>241863</v>
      </c>
      <c r="N106">
        <v>30589</v>
      </c>
      <c r="O106">
        <v>5462.3214285714294</v>
      </c>
      <c r="P106">
        <v>43916.569285714293</v>
      </c>
      <c r="Q106">
        <v>472.93</v>
      </c>
      <c r="R106">
        <v>20559.79</v>
      </c>
      <c r="S106">
        <v>64476.359285714294</v>
      </c>
      <c r="T106">
        <v>0</v>
      </c>
      <c r="U106">
        <v>42555</v>
      </c>
      <c r="V106">
        <v>-54026.359285714294</v>
      </c>
      <c r="W106" s="31" t="str">
        <f>VLOOKUP(vehicle_data[[#This Row],[Vehicle]],upfront[],6,FALSE)</f>
        <v>Redford</v>
      </c>
    </row>
    <row r="107" spans="1:24" x14ac:dyDescent="0.45">
      <c r="A107" t="s">
        <v>131</v>
      </c>
      <c r="B107">
        <v>10</v>
      </c>
      <c r="C107">
        <v>10450</v>
      </c>
      <c r="D107">
        <v>260137</v>
      </c>
      <c r="E107">
        <v>0.16358687922133339</v>
      </c>
      <c r="F107">
        <v>7.9514986334123947E-2</v>
      </c>
      <c r="G107">
        <v>0.18387398343400377</v>
      </c>
      <c r="H107">
        <v>0.42697584898946106</v>
      </c>
      <c r="I107">
        <v>-58067.216428571439</v>
      </c>
      <c r="J107">
        <v>43939</v>
      </c>
      <c r="K107">
        <v>44303</v>
      </c>
      <c r="L107">
        <v>241863</v>
      </c>
      <c r="M107">
        <v>260137</v>
      </c>
      <c r="N107">
        <v>18274</v>
      </c>
      <c r="O107">
        <v>3915.8571428571427</v>
      </c>
      <c r="P107">
        <v>47832.426428571438</v>
      </c>
      <c r="Q107">
        <v>125</v>
      </c>
      <c r="R107">
        <v>20684.79</v>
      </c>
      <c r="S107">
        <v>68517.216428571439</v>
      </c>
      <c r="T107">
        <v>0</v>
      </c>
      <c r="U107">
        <v>42555</v>
      </c>
      <c r="V107">
        <v>-58067.216428571439</v>
      </c>
      <c r="W107" s="31" t="str">
        <f>VLOOKUP(vehicle_data[[#This Row],[Vehicle]],upfront[],6,FALSE)</f>
        <v>Redford</v>
      </c>
    </row>
    <row r="108" spans="1:24" x14ac:dyDescent="0.45">
      <c r="A108" t="s">
        <v>132</v>
      </c>
      <c r="B108">
        <v>1</v>
      </c>
      <c r="C108">
        <v>39013.199999999997</v>
      </c>
      <c r="D108">
        <v>33115</v>
      </c>
      <c r="E108">
        <v>0.22982938245508078</v>
      </c>
      <c r="F108">
        <v>3.6808093009210326E-3</v>
      </c>
      <c r="G108">
        <v>0.11888888888888889</v>
      </c>
      <c r="H108">
        <v>0.35239908064489073</v>
      </c>
      <c r="I108">
        <v>34954.304444444439</v>
      </c>
      <c r="J108">
        <v>41312</v>
      </c>
      <c r="K108">
        <v>41676</v>
      </c>
      <c r="L108">
        <v>0</v>
      </c>
      <c r="M108">
        <v>33115</v>
      </c>
      <c r="N108">
        <v>33115</v>
      </c>
      <c r="O108">
        <v>3937.0055555555555</v>
      </c>
      <c r="P108">
        <v>3937.0055555555555</v>
      </c>
      <c r="Q108">
        <v>121.89</v>
      </c>
      <c r="R108">
        <v>121.89</v>
      </c>
      <c r="S108">
        <v>4058.8955555555553</v>
      </c>
      <c r="T108">
        <v>7610.8</v>
      </c>
      <c r="U108">
        <v>7610.8</v>
      </c>
      <c r="V108">
        <v>34954.304444444439</v>
      </c>
      <c r="W108" s="31" t="str">
        <f>VLOOKUP(vehicle_data[[#This Row],[Vehicle]],upfront[],6,FALSE)</f>
        <v>Redford</v>
      </c>
      <c r="X108">
        <v>4</v>
      </c>
    </row>
    <row r="109" spans="1:24" x14ac:dyDescent="0.45">
      <c r="A109" t="s">
        <v>132</v>
      </c>
      <c r="B109">
        <v>2</v>
      </c>
      <c r="C109">
        <v>31402.399999999998</v>
      </c>
      <c r="D109">
        <v>72500</v>
      </c>
      <c r="E109">
        <v>0.20995310344827586</v>
      </c>
      <c r="F109">
        <v>0.12345586206896551</v>
      </c>
      <c r="G109">
        <v>0.12733931034482759</v>
      </c>
      <c r="H109">
        <v>0.46074827586206896</v>
      </c>
      <c r="I109">
        <v>13219.749999999996</v>
      </c>
      <c r="J109">
        <v>41677</v>
      </c>
      <c r="K109">
        <v>42041</v>
      </c>
      <c r="L109">
        <v>33115</v>
      </c>
      <c r="M109">
        <v>72500</v>
      </c>
      <c r="N109">
        <v>39385</v>
      </c>
      <c r="O109">
        <v>5295.0944444444449</v>
      </c>
      <c r="P109">
        <v>9232.1</v>
      </c>
      <c r="Q109">
        <v>8828.66</v>
      </c>
      <c r="R109">
        <v>8950.5499999999993</v>
      </c>
      <c r="S109">
        <v>18182.650000000001</v>
      </c>
      <c r="T109">
        <v>7610.8</v>
      </c>
      <c r="U109">
        <v>15221.6</v>
      </c>
      <c r="V109">
        <v>13219.749999999996</v>
      </c>
      <c r="W109" s="31" t="str">
        <f>VLOOKUP(vehicle_data[[#This Row],[Vehicle]],upfront[],6,FALSE)</f>
        <v>Redford</v>
      </c>
    </row>
    <row r="110" spans="1:24" x14ac:dyDescent="0.45">
      <c r="A110" t="s">
        <v>132</v>
      </c>
      <c r="B110">
        <v>3</v>
      </c>
      <c r="C110">
        <v>23791.599999999999</v>
      </c>
      <c r="D110">
        <v>95183</v>
      </c>
      <c r="E110">
        <v>0.23987896998413583</v>
      </c>
      <c r="F110">
        <v>0.10076190075958942</v>
      </c>
      <c r="G110">
        <v>0.13393111164808841</v>
      </c>
      <c r="H110">
        <v>0.47457198239181364</v>
      </c>
      <c r="I110">
        <v>1452.8149999999987</v>
      </c>
      <c r="J110">
        <v>42042</v>
      </c>
      <c r="K110">
        <v>42406</v>
      </c>
      <c r="L110">
        <v>72500</v>
      </c>
      <c r="M110">
        <v>95183</v>
      </c>
      <c r="N110">
        <v>22683</v>
      </c>
      <c r="O110">
        <v>3515.8650000000002</v>
      </c>
      <c r="P110">
        <v>12747.965</v>
      </c>
      <c r="Q110">
        <v>640.27</v>
      </c>
      <c r="R110">
        <v>9590.82</v>
      </c>
      <c r="S110">
        <v>22338.785</v>
      </c>
      <c r="T110">
        <v>7610.8</v>
      </c>
      <c r="U110">
        <v>22832.400000000001</v>
      </c>
      <c r="V110">
        <v>1452.8149999999987</v>
      </c>
      <c r="W110" s="31" t="str">
        <f>VLOOKUP(vehicle_data[[#This Row],[Vehicle]],upfront[],6,FALSE)</f>
        <v>Redford</v>
      </c>
    </row>
    <row r="111" spans="1:24" x14ac:dyDescent="0.45">
      <c r="A111" t="s">
        <v>132</v>
      </c>
      <c r="B111">
        <v>4</v>
      </c>
      <c r="C111">
        <v>16180.8</v>
      </c>
      <c r="D111">
        <v>142500</v>
      </c>
      <c r="E111">
        <v>0.21363649122807019</v>
      </c>
      <c r="F111">
        <v>9.3894315789473673E-2</v>
      </c>
      <c r="G111">
        <v>0.13742205458089671</v>
      </c>
      <c r="H111">
        <v>0.44495286159844061</v>
      </c>
      <c r="I111">
        <v>-16781.782777777775</v>
      </c>
      <c r="J111">
        <v>42407</v>
      </c>
      <c r="K111">
        <v>42771</v>
      </c>
      <c r="L111">
        <v>95183</v>
      </c>
      <c r="M111">
        <v>142500</v>
      </c>
      <c r="N111">
        <v>47317</v>
      </c>
      <c r="O111">
        <v>6834.6777777777779</v>
      </c>
      <c r="P111">
        <v>19582.642777777779</v>
      </c>
      <c r="Q111">
        <v>3789.12</v>
      </c>
      <c r="R111">
        <v>13379.939999999999</v>
      </c>
      <c r="S111">
        <v>32962.582777777774</v>
      </c>
      <c r="T111">
        <v>7610.8</v>
      </c>
      <c r="U111">
        <v>30443.200000000001</v>
      </c>
      <c r="V111">
        <v>-16781.782777777775</v>
      </c>
      <c r="W111" s="31" t="str">
        <f>VLOOKUP(vehicle_data[[#This Row],[Vehicle]],upfront[],6,FALSE)</f>
        <v>Redford</v>
      </c>
    </row>
    <row r="112" spans="1:24" x14ac:dyDescent="0.45">
      <c r="A112" t="s">
        <v>132</v>
      </c>
      <c r="B112">
        <v>5</v>
      </c>
      <c r="C112">
        <v>8570</v>
      </c>
      <c r="D112">
        <v>160196</v>
      </c>
      <c r="E112">
        <v>0.23754650553072487</v>
      </c>
      <c r="F112">
        <v>8.7551187295562924E-2</v>
      </c>
      <c r="G112">
        <v>0.13549753288332905</v>
      </c>
      <c r="H112">
        <v>0.46059522570961686</v>
      </c>
      <c r="I112">
        <v>-27161.512777777782</v>
      </c>
      <c r="J112">
        <v>42772</v>
      </c>
      <c r="K112">
        <v>43136</v>
      </c>
      <c r="L112">
        <v>142500</v>
      </c>
      <c r="M112">
        <v>160196</v>
      </c>
      <c r="N112">
        <v>17696</v>
      </c>
      <c r="O112">
        <v>2123.52</v>
      </c>
      <c r="P112">
        <v>21706.162777777779</v>
      </c>
      <c r="Q112">
        <v>645.41</v>
      </c>
      <c r="R112">
        <v>14025.349999999999</v>
      </c>
      <c r="S112">
        <v>35731.512777777782</v>
      </c>
      <c r="T112">
        <v>7610.8</v>
      </c>
      <c r="U112">
        <v>38054</v>
      </c>
      <c r="V112">
        <v>-27161.512777777782</v>
      </c>
      <c r="W112" s="31" t="str">
        <f>VLOOKUP(vehicle_data[[#This Row],[Vehicle]],upfront[],6,FALSE)</f>
        <v>Redford</v>
      </c>
    </row>
    <row r="113" spans="1:24" x14ac:dyDescent="0.45">
      <c r="A113" t="s">
        <v>132</v>
      </c>
      <c r="B113">
        <v>6</v>
      </c>
      <c r="C113">
        <v>8570</v>
      </c>
      <c r="D113">
        <v>182982</v>
      </c>
      <c r="E113">
        <v>0.20796581084478255</v>
      </c>
      <c r="F113">
        <v>0.10955290684329606</v>
      </c>
      <c r="G113">
        <v>0.13591984457487624</v>
      </c>
      <c r="H113">
        <v>0.45343856226295487</v>
      </c>
      <c r="I113">
        <v>-36347.095000000001</v>
      </c>
      <c r="J113">
        <v>43137</v>
      </c>
      <c r="K113">
        <v>43501</v>
      </c>
      <c r="L113">
        <v>160196</v>
      </c>
      <c r="M113">
        <v>182982</v>
      </c>
      <c r="N113">
        <v>22786</v>
      </c>
      <c r="O113">
        <v>3164.7222222222222</v>
      </c>
      <c r="P113">
        <v>24870.885000000002</v>
      </c>
      <c r="Q113">
        <v>6020.8600000000006</v>
      </c>
      <c r="R113">
        <v>20046.21</v>
      </c>
      <c r="S113">
        <v>44917.095000000001</v>
      </c>
      <c r="T113">
        <v>0</v>
      </c>
      <c r="U113">
        <v>38054</v>
      </c>
      <c r="V113">
        <v>-36347.095000000001</v>
      </c>
      <c r="W113" s="31" t="str">
        <f>VLOOKUP(vehicle_data[[#This Row],[Vehicle]],upfront[],6,FALSE)</f>
        <v>Redford</v>
      </c>
    </row>
    <row r="114" spans="1:24" x14ac:dyDescent="0.45">
      <c r="A114" t="s">
        <v>132</v>
      </c>
      <c r="B114">
        <v>7</v>
      </c>
      <c r="C114">
        <v>8570</v>
      </c>
      <c r="D114">
        <v>206278</v>
      </c>
      <c r="E114">
        <v>0.18447919797554757</v>
      </c>
      <c r="F114">
        <v>0.11743128205625417</v>
      </c>
      <c r="G114">
        <v>0.13625515350912631</v>
      </c>
      <c r="H114">
        <v>0.43816563354092808</v>
      </c>
      <c r="I114">
        <v>-43759.930555555555</v>
      </c>
      <c r="J114">
        <v>43502</v>
      </c>
      <c r="K114">
        <v>43866</v>
      </c>
      <c r="L114">
        <v>182982</v>
      </c>
      <c r="M114">
        <v>206278</v>
      </c>
      <c r="N114">
        <v>23296</v>
      </c>
      <c r="O114">
        <v>3235.5555555555557</v>
      </c>
      <c r="P114">
        <v>28106.440555555557</v>
      </c>
      <c r="Q114">
        <v>4177.28</v>
      </c>
      <c r="R114">
        <v>24223.489999999998</v>
      </c>
      <c r="S114">
        <v>52329.930555555555</v>
      </c>
      <c r="T114">
        <v>0</v>
      </c>
      <c r="U114">
        <v>38054</v>
      </c>
      <c r="V114">
        <v>-43759.930555555555</v>
      </c>
      <c r="W114" s="31" t="str">
        <f>VLOOKUP(vehicle_data[[#This Row],[Vehicle]],upfront[],6,FALSE)</f>
        <v>Redford</v>
      </c>
    </row>
    <row r="115" spans="1:24" x14ac:dyDescent="0.45">
      <c r="A115" t="s">
        <v>132</v>
      </c>
      <c r="B115">
        <v>8</v>
      </c>
      <c r="C115">
        <v>8570</v>
      </c>
      <c r="D115">
        <v>222870</v>
      </c>
      <c r="E115">
        <v>0.17074527751604074</v>
      </c>
      <c r="F115">
        <v>0.12165491093462555</v>
      </c>
      <c r="G115">
        <v>0.13851919903481352</v>
      </c>
      <c r="H115">
        <v>0.43091938748547981</v>
      </c>
      <c r="I115">
        <v>-49415.003888888881</v>
      </c>
      <c r="J115">
        <v>43867</v>
      </c>
      <c r="K115">
        <v>44231</v>
      </c>
      <c r="L115">
        <v>206278</v>
      </c>
      <c r="M115">
        <v>222870</v>
      </c>
      <c r="N115">
        <v>16592</v>
      </c>
      <c r="O115">
        <v>2765.3333333333335</v>
      </c>
      <c r="P115">
        <v>30871.773888888889</v>
      </c>
      <c r="Q115">
        <v>2889.74</v>
      </c>
      <c r="R115">
        <v>27113.229999999996</v>
      </c>
      <c r="S115">
        <v>57985.003888888881</v>
      </c>
      <c r="T115">
        <v>0</v>
      </c>
      <c r="U115">
        <v>38054</v>
      </c>
      <c r="V115">
        <v>-49415.003888888881</v>
      </c>
      <c r="W115" s="31" t="str">
        <f>VLOOKUP(vehicle_data[[#This Row],[Vehicle]],upfront[],6,FALSE)</f>
        <v>Redford</v>
      </c>
    </row>
    <row r="116" spans="1:24" x14ac:dyDescent="0.45">
      <c r="A116" t="s">
        <v>133</v>
      </c>
      <c r="B116">
        <v>1</v>
      </c>
      <c r="C116">
        <v>39205.199999999997</v>
      </c>
      <c r="D116">
        <v>40000</v>
      </c>
      <c r="E116">
        <v>0.18547</v>
      </c>
      <c r="F116">
        <v>8.2007500000000014E-3</v>
      </c>
      <c r="G116">
        <v>0.11888888888888889</v>
      </c>
      <c r="H116">
        <v>0.31255963888888888</v>
      </c>
      <c r="I116">
        <v>34121.614444444444</v>
      </c>
      <c r="J116">
        <v>41360</v>
      </c>
      <c r="K116">
        <v>41724</v>
      </c>
      <c r="L116">
        <v>0</v>
      </c>
      <c r="M116">
        <v>40000</v>
      </c>
      <c r="N116">
        <v>40000</v>
      </c>
      <c r="O116">
        <v>4755.5555555555557</v>
      </c>
      <c r="P116">
        <v>4755.5555555555557</v>
      </c>
      <c r="Q116">
        <v>328.03000000000003</v>
      </c>
      <c r="R116">
        <v>328.03000000000003</v>
      </c>
      <c r="S116">
        <v>5083.5855555555554</v>
      </c>
      <c r="T116">
        <v>7418.8</v>
      </c>
      <c r="U116">
        <v>7418.8</v>
      </c>
      <c r="V116">
        <v>34121.614444444444</v>
      </c>
      <c r="W116" s="31" t="str">
        <f>VLOOKUP(vehicle_data[[#This Row],[Vehicle]],upfront[],6,FALSE)</f>
        <v>Redford</v>
      </c>
      <c r="X116">
        <v>4</v>
      </c>
    </row>
    <row r="117" spans="1:24" x14ac:dyDescent="0.45">
      <c r="A117" t="s">
        <v>133</v>
      </c>
      <c r="B117">
        <v>2</v>
      </c>
      <c r="C117">
        <v>31786.399999999998</v>
      </c>
      <c r="D117">
        <v>65000</v>
      </c>
      <c r="E117">
        <v>0.22827076923076925</v>
      </c>
      <c r="F117">
        <v>1.8852769230769232E-2</v>
      </c>
      <c r="G117">
        <v>0.12487179487179487</v>
      </c>
      <c r="H117">
        <v>0.37199533333333334</v>
      </c>
      <c r="I117">
        <v>22444.30333333333</v>
      </c>
      <c r="J117">
        <v>41725</v>
      </c>
      <c r="K117">
        <v>42089</v>
      </c>
      <c r="L117">
        <v>40000</v>
      </c>
      <c r="M117">
        <v>65000</v>
      </c>
      <c r="N117">
        <v>25000</v>
      </c>
      <c r="O117">
        <v>3361.1111111111109</v>
      </c>
      <c r="P117">
        <v>8116.6666666666661</v>
      </c>
      <c r="Q117">
        <v>897.40000000000009</v>
      </c>
      <c r="R117">
        <v>1225.43</v>
      </c>
      <c r="S117">
        <v>9342.0966666666664</v>
      </c>
      <c r="T117">
        <v>7418.8</v>
      </c>
      <c r="U117">
        <v>14837.6</v>
      </c>
      <c r="V117">
        <v>22444.30333333333</v>
      </c>
      <c r="W117" s="31" t="str">
        <f>VLOOKUP(vehicle_data[[#This Row],[Vehicle]],upfront[],6,FALSE)</f>
        <v>Redford</v>
      </c>
    </row>
    <row r="118" spans="1:24" x14ac:dyDescent="0.45">
      <c r="A118" t="s">
        <v>133</v>
      </c>
      <c r="B118">
        <v>3</v>
      </c>
      <c r="C118">
        <v>24367.599999999999</v>
      </c>
      <c r="D118">
        <v>87622</v>
      </c>
      <c r="E118">
        <v>0.25400470201547559</v>
      </c>
      <c r="F118">
        <v>2.9166191139211619E-2</v>
      </c>
      <c r="G118">
        <v>0.13265020961250218</v>
      </c>
      <c r="H118">
        <v>0.41582110276718937</v>
      </c>
      <c r="I118">
        <v>10188.923333333332</v>
      </c>
      <c r="J118">
        <v>42090</v>
      </c>
      <c r="K118">
        <v>42454</v>
      </c>
      <c r="L118">
        <v>65000</v>
      </c>
      <c r="M118">
        <v>87622</v>
      </c>
      <c r="N118">
        <v>22622</v>
      </c>
      <c r="O118">
        <v>3506.4100000000003</v>
      </c>
      <c r="P118">
        <v>11623.076666666666</v>
      </c>
      <c r="Q118">
        <v>1330.17</v>
      </c>
      <c r="R118">
        <v>2555.6000000000004</v>
      </c>
      <c r="S118">
        <v>14178.676666666666</v>
      </c>
      <c r="T118">
        <v>7418.8</v>
      </c>
      <c r="U118">
        <v>22256.400000000001</v>
      </c>
      <c r="V118">
        <v>10188.923333333332</v>
      </c>
      <c r="W118" s="31" t="str">
        <f>VLOOKUP(vehicle_data[[#This Row],[Vehicle]],upfront[],6,FALSE)</f>
        <v>Redford</v>
      </c>
    </row>
    <row r="119" spans="1:24" x14ac:dyDescent="0.45">
      <c r="A119" t="s">
        <v>133</v>
      </c>
      <c r="B119">
        <v>4</v>
      </c>
      <c r="C119">
        <v>16948.8</v>
      </c>
      <c r="D119">
        <v>116239</v>
      </c>
      <c r="E119">
        <v>0.25529469455174253</v>
      </c>
      <c r="F119">
        <v>2.4523266717710927E-2</v>
      </c>
      <c r="G119">
        <v>0.13555384452148878</v>
      </c>
      <c r="H119">
        <v>0.41537180579094224</v>
      </c>
      <c r="I119">
        <v>-1658.4033333333355</v>
      </c>
      <c r="J119">
        <v>42455</v>
      </c>
      <c r="K119">
        <v>42819</v>
      </c>
      <c r="L119">
        <v>87622</v>
      </c>
      <c r="M119">
        <v>116239</v>
      </c>
      <c r="N119">
        <v>28617</v>
      </c>
      <c r="O119">
        <v>4133.5666666666666</v>
      </c>
      <c r="P119">
        <v>15756.643333333333</v>
      </c>
      <c r="Q119">
        <v>294.95999999999998</v>
      </c>
      <c r="R119">
        <v>2850.5600000000004</v>
      </c>
      <c r="S119">
        <v>18607.203333333335</v>
      </c>
      <c r="T119">
        <v>7418.8</v>
      </c>
      <c r="U119">
        <v>29675.200000000001</v>
      </c>
      <c r="V119">
        <v>-1658.4033333333355</v>
      </c>
      <c r="W119" s="31" t="str">
        <f>VLOOKUP(vehicle_data[[#This Row],[Vehicle]],upfront[],6,FALSE)</f>
        <v>Redford</v>
      </c>
    </row>
    <row r="120" spans="1:24" x14ac:dyDescent="0.45">
      <c r="A120" t="s">
        <v>133</v>
      </c>
      <c r="B120">
        <v>5</v>
      </c>
      <c r="C120">
        <v>9530</v>
      </c>
      <c r="D120">
        <v>141984</v>
      </c>
      <c r="E120">
        <v>0.26125478927203066</v>
      </c>
      <c r="F120">
        <v>4.1829361054766735E-2</v>
      </c>
      <c r="G120">
        <v>0.13273357091878898</v>
      </c>
      <c r="H120">
        <v>0.43581772124558638</v>
      </c>
      <c r="I120">
        <v>-15255.143333333333</v>
      </c>
      <c r="J120">
        <v>42820</v>
      </c>
      <c r="K120">
        <v>43184</v>
      </c>
      <c r="L120">
        <v>116239</v>
      </c>
      <c r="M120">
        <v>141984</v>
      </c>
      <c r="N120">
        <v>25745</v>
      </c>
      <c r="O120">
        <v>3089.4</v>
      </c>
      <c r="P120">
        <v>18846.043333333335</v>
      </c>
      <c r="Q120">
        <v>3088.5399999999995</v>
      </c>
      <c r="R120">
        <v>5939.1</v>
      </c>
      <c r="S120">
        <v>24785.143333333333</v>
      </c>
      <c r="T120">
        <v>7418.8</v>
      </c>
      <c r="U120">
        <v>37094</v>
      </c>
      <c r="V120">
        <v>-15255.143333333333</v>
      </c>
      <c r="W120" s="31" t="str">
        <f>VLOOKUP(vehicle_data[[#This Row],[Vehicle]],upfront[],6,FALSE)</f>
        <v>Redford</v>
      </c>
    </row>
    <row r="121" spans="1:24" x14ac:dyDescent="0.45">
      <c r="A121" t="s">
        <v>133</v>
      </c>
      <c r="B121">
        <v>6</v>
      </c>
      <c r="C121">
        <v>9530</v>
      </c>
      <c r="D121">
        <v>162890</v>
      </c>
      <c r="E121">
        <v>0.22772423107618639</v>
      </c>
      <c r="F121">
        <v>8.9717539443796429E-2</v>
      </c>
      <c r="G121">
        <v>0.13352357078055402</v>
      </c>
      <c r="H121">
        <v>0.45096534130053678</v>
      </c>
      <c r="I121">
        <v>-26833.744444444441</v>
      </c>
      <c r="J121">
        <v>43185</v>
      </c>
      <c r="K121">
        <v>43549</v>
      </c>
      <c r="L121">
        <v>141984</v>
      </c>
      <c r="M121">
        <v>162890</v>
      </c>
      <c r="N121">
        <v>20906</v>
      </c>
      <c r="O121">
        <v>2903.6111111111109</v>
      </c>
      <c r="P121">
        <v>21749.654444444444</v>
      </c>
      <c r="Q121">
        <v>8674.99</v>
      </c>
      <c r="R121">
        <v>14614.09</v>
      </c>
      <c r="S121">
        <v>36363.744444444441</v>
      </c>
      <c r="T121">
        <v>0</v>
      </c>
      <c r="U121">
        <v>37094</v>
      </c>
      <c r="V121">
        <v>-26833.744444444441</v>
      </c>
      <c r="W121" s="31" t="str">
        <f>VLOOKUP(vehicle_data[[#This Row],[Vehicle]],upfront[],6,FALSE)</f>
        <v>Redford</v>
      </c>
    </row>
    <row r="122" spans="1:24" x14ac:dyDescent="0.45">
      <c r="A122" t="s">
        <v>133</v>
      </c>
      <c r="B122">
        <v>7</v>
      </c>
      <c r="C122">
        <v>9530</v>
      </c>
      <c r="D122">
        <v>188725</v>
      </c>
      <c r="E122">
        <v>0.19655053649489998</v>
      </c>
      <c r="F122">
        <v>9.9074897337395676E-2</v>
      </c>
      <c r="G122">
        <v>0.13425804153603862</v>
      </c>
      <c r="H122">
        <v>0.42988347536833427</v>
      </c>
      <c r="I122">
        <v>-34505.758888888886</v>
      </c>
      <c r="J122">
        <v>43550</v>
      </c>
      <c r="K122">
        <v>43914</v>
      </c>
      <c r="L122">
        <v>162890</v>
      </c>
      <c r="M122">
        <v>188725</v>
      </c>
      <c r="N122">
        <v>25835</v>
      </c>
      <c r="O122">
        <v>3588.1944444444443</v>
      </c>
      <c r="P122">
        <v>25337.84888888889</v>
      </c>
      <c r="Q122">
        <v>4083.82</v>
      </c>
      <c r="R122">
        <v>18697.91</v>
      </c>
      <c r="S122">
        <v>44035.758888888886</v>
      </c>
      <c r="T122">
        <v>0</v>
      </c>
      <c r="U122">
        <v>37094</v>
      </c>
      <c r="V122">
        <v>-34505.758888888886</v>
      </c>
      <c r="W122" s="31" t="str">
        <f>VLOOKUP(vehicle_data[[#This Row],[Vehicle]],upfront[],6,FALSE)</f>
        <v>Redford</v>
      </c>
    </row>
    <row r="123" spans="1:24" x14ac:dyDescent="0.45">
      <c r="A123" t="s">
        <v>133</v>
      </c>
      <c r="B123">
        <v>8</v>
      </c>
      <c r="C123">
        <v>9530</v>
      </c>
      <c r="D123">
        <v>197836</v>
      </c>
      <c r="E123">
        <v>0.18749873632705877</v>
      </c>
      <c r="F123">
        <v>9.5500363937807073E-2</v>
      </c>
      <c r="G123">
        <v>0.13575056556384527</v>
      </c>
      <c r="H123">
        <v>0.41874966582871109</v>
      </c>
      <c r="I123">
        <v>-36219.758888888886</v>
      </c>
      <c r="J123">
        <v>43915</v>
      </c>
      <c r="K123">
        <v>44279</v>
      </c>
      <c r="L123">
        <v>188725</v>
      </c>
      <c r="M123">
        <v>197836</v>
      </c>
      <c r="N123">
        <v>9111</v>
      </c>
      <c r="O123">
        <v>1518.5</v>
      </c>
      <c r="P123">
        <v>26856.34888888889</v>
      </c>
      <c r="Q123">
        <v>195.5</v>
      </c>
      <c r="R123">
        <v>18893.41</v>
      </c>
      <c r="S123">
        <v>45749.758888888886</v>
      </c>
      <c r="T123">
        <v>0</v>
      </c>
      <c r="U123">
        <v>37094</v>
      </c>
      <c r="V123">
        <v>-36219.758888888886</v>
      </c>
      <c r="W123" s="31" t="str">
        <f>VLOOKUP(vehicle_data[[#This Row],[Vehicle]],upfront[],6,FALSE)</f>
        <v>Redford</v>
      </c>
    </row>
    <row r="124" spans="1:24" x14ac:dyDescent="0.45">
      <c r="A124" t="s">
        <v>134</v>
      </c>
      <c r="B124">
        <v>1</v>
      </c>
      <c r="C124">
        <v>38702.400000000001</v>
      </c>
      <c r="D124">
        <v>27748</v>
      </c>
      <c r="E124">
        <v>0.26040074960357507</v>
      </c>
      <c r="F124">
        <v>6.0559319590601122E-3</v>
      </c>
      <c r="G124">
        <v>0.11888888888888889</v>
      </c>
      <c r="H124">
        <v>0.38534557045152407</v>
      </c>
      <c r="I124">
        <v>35235.431111111109</v>
      </c>
      <c r="J124">
        <v>41561</v>
      </c>
      <c r="K124">
        <v>41925</v>
      </c>
      <c r="L124">
        <v>0</v>
      </c>
      <c r="M124">
        <v>27748</v>
      </c>
      <c r="N124">
        <v>27748</v>
      </c>
      <c r="O124">
        <v>3298.9288888888891</v>
      </c>
      <c r="P124">
        <v>3298.9288888888891</v>
      </c>
      <c r="Q124">
        <v>168.04</v>
      </c>
      <c r="R124">
        <v>168.04</v>
      </c>
      <c r="S124">
        <v>3466.9688888888891</v>
      </c>
      <c r="T124">
        <v>7225.6</v>
      </c>
      <c r="U124">
        <v>7225.6</v>
      </c>
      <c r="V124">
        <v>35235.431111111109</v>
      </c>
      <c r="W124" s="31" t="str">
        <f>VLOOKUP(vehicle_data[[#This Row],[Vehicle]],upfront[],6,FALSE)</f>
        <v>Redford</v>
      </c>
      <c r="X124">
        <v>4</v>
      </c>
    </row>
    <row r="125" spans="1:24" x14ac:dyDescent="0.45">
      <c r="A125" t="s">
        <v>134</v>
      </c>
      <c r="B125">
        <v>2</v>
      </c>
      <c r="C125">
        <v>31476.800000000003</v>
      </c>
      <c r="D125">
        <v>60561</v>
      </c>
      <c r="E125">
        <v>0.23862221561731148</v>
      </c>
      <c r="F125">
        <v>2.6580142335826687E-2</v>
      </c>
      <c r="G125">
        <v>0.12731715864078275</v>
      </c>
      <c r="H125">
        <v>0.39251951659392093</v>
      </c>
      <c r="I125">
        <v>22156.625555555562</v>
      </c>
      <c r="J125">
        <v>41926</v>
      </c>
      <c r="K125">
        <v>42290</v>
      </c>
      <c r="L125">
        <v>27748</v>
      </c>
      <c r="M125">
        <v>60561</v>
      </c>
      <c r="N125">
        <v>32813</v>
      </c>
      <c r="O125">
        <v>4411.525555555555</v>
      </c>
      <c r="P125">
        <v>7710.4544444444437</v>
      </c>
      <c r="Q125">
        <v>1441.68</v>
      </c>
      <c r="R125">
        <v>1609.72</v>
      </c>
      <c r="S125">
        <v>9320.174444444443</v>
      </c>
      <c r="T125">
        <v>7225.6</v>
      </c>
      <c r="U125">
        <v>14451.2</v>
      </c>
      <c r="V125">
        <v>22156.625555555562</v>
      </c>
      <c r="W125" s="31" t="str">
        <f>VLOOKUP(vehicle_data[[#This Row],[Vehicle]],upfront[],6,FALSE)</f>
        <v>Redford</v>
      </c>
    </row>
    <row r="126" spans="1:24" x14ac:dyDescent="0.45">
      <c r="A126" t="s">
        <v>134</v>
      </c>
      <c r="B126">
        <v>3</v>
      </c>
      <c r="C126">
        <v>24251.200000000004</v>
      </c>
      <c r="D126">
        <v>97810</v>
      </c>
      <c r="E126">
        <v>0.22162151109293532</v>
      </c>
      <c r="F126">
        <v>1.7275534198957162E-2</v>
      </c>
      <c r="G126">
        <v>0.13785962012518602</v>
      </c>
      <c r="H126">
        <v>0.37675666541707853</v>
      </c>
      <c r="I126">
        <v>9077.430555555562</v>
      </c>
      <c r="J126">
        <v>42291</v>
      </c>
      <c r="K126">
        <v>42655</v>
      </c>
      <c r="L126">
        <v>60561</v>
      </c>
      <c r="M126">
        <v>97810</v>
      </c>
      <c r="N126">
        <v>37249</v>
      </c>
      <c r="O126">
        <v>5773.5949999999993</v>
      </c>
      <c r="P126">
        <v>13484.049444444443</v>
      </c>
      <c r="Q126">
        <v>80</v>
      </c>
      <c r="R126">
        <v>1689.72</v>
      </c>
      <c r="S126">
        <v>15173.769444444442</v>
      </c>
      <c r="T126">
        <v>7225.6</v>
      </c>
      <c r="U126">
        <v>21676.800000000003</v>
      </c>
      <c r="V126">
        <v>9077.430555555562</v>
      </c>
      <c r="W126" s="31" t="str">
        <f>VLOOKUP(vehicle_data[[#This Row],[Vehicle]],upfront[],6,FALSE)</f>
        <v>Redford</v>
      </c>
    </row>
    <row r="127" spans="1:24" x14ac:dyDescent="0.45">
      <c r="A127" t="s">
        <v>134</v>
      </c>
      <c r="B127">
        <v>4</v>
      </c>
      <c r="C127">
        <v>17025.600000000006</v>
      </c>
      <c r="D127">
        <v>133438</v>
      </c>
      <c r="E127">
        <v>0.21659797059308444</v>
      </c>
      <c r="F127">
        <v>5.9884440714039484E-2</v>
      </c>
      <c r="G127">
        <v>0.13961777088319002</v>
      </c>
      <c r="H127">
        <v>0.41610018219031397</v>
      </c>
      <c r="I127">
        <v>-9595.576111111106</v>
      </c>
      <c r="J127">
        <v>42656</v>
      </c>
      <c r="K127">
        <v>43020</v>
      </c>
      <c r="L127">
        <v>97810</v>
      </c>
      <c r="M127">
        <v>133438</v>
      </c>
      <c r="N127">
        <v>35628</v>
      </c>
      <c r="O127">
        <v>5146.2666666666664</v>
      </c>
      <c r="P127">
        <v>18630.316111111111</v>
      </c>
      <c r="Q127">
        <v>6301.14</v>
      </c>
      <c r="R127">
        <v>7990.8600000000006</v>
      </c>
      <c r="S127">
        <v>26621.176111111112</v>
      </c>
      <c r="T127">
        <v>7225.6</v>
      </c>
      <c r="U127">
        <v>28902.400000000001</v>
      </c>
      <c r="V127">
        <v>-9595.576111111106</v>
      </c>
      <c r="W127" s="31" t="str">
        <f>VLOOKUP(vehicle_data[[#This Row],[Vehicle]],upfront[],6,FALSE)</f>
        <v>Redford</v>
      </c>
    </row>
    <row r="128" spans="1:24" x14ac:dyDescent="0.45">
      <c r="A128" t="s">
        <v>134</v>
      </c>
      <c r="B128">
        <v>5</v>
      </c>
      <c r="C128">
        <v>9800.0000000000055</v>
      </c>
      <c r="D128">
        <v>157845</v>
      </c>
      <c r="E128">
        <v>0.228882764737559</v>
      </c>
      <c r="F128">
        <v>8.4055940954734065E-2</v>
      </c>
      <c r="G128">
        <v>0.13658434610606046</v>
      </c>
      <c r="H128">
        <v>0.44952305179835356</v>
      </c>
      <c r="I128">
        <v>-25026.966111111105</v>
      </c>
      <c r="J128">
        <v>43021</v>
      </c>
      <c r="K128">
        <v>43385</v>
      </c>
      <c r="L128">
        <v>133438</v>
      </c>
      <c r="M128">
        <v>157845</v>
      </c>
      <c r="N128">
        <v>24407</v>
      </c>
      <c r="O128">
        <v>2928.84</v>
      </c>
      <c r="P128">
        <v>21559.156111111111</v>
      </c>
      <c r="Q128">
        <v>5276.9499999999989</v>
      </c>
      <c r="R128">
        <v>13267.81</v>
      </c>
      <c r="S128">
        <v>34826.966111111113</v>
      </c>
      <c r="T128">
        <v>7225.6</v>
      </c>
      <c r="U128">
        <v>36128</v>
      </c>
      <c r="V128">
        <v>-25026.966111111105</v>
      </c>
      <c r="W128" s="31" t="str">
        <f>VLOOKUP(vehicle_data[[#This Row],[Vehicle]],upfront[],6,FALSE)</f>
        <v>Redford</v>
      </c>
    </row>
    <row r="129" spans="1:24" x14ac:dyDescent="0.45">
      <c r="A129" t="s">
        <v>134</v>
      </c>
      <c r="B129">
        <v>6</v>
      </c>
      <c r="C129">
        <v>9800.0000000000055</v>
      </c>
      <c r="D129">
        <v>194938</v>
      </c>
      <c r="E129">
        <v>0.18533072053678606</v>
      </c>
      <c r="F129">
        <v>7.8805774143573856E-2</v>
      </c>
      <c r="G129">
        <v>0.13702285683995252</v>
      </c>
      <c r="H129">
        <v>0.40115935152031246</v>
      </c>
      <c r="I129">
        <v>-32273.20166666666</v>
      </c>
      <c r="J129">
        <v>43386</v>
      </c>
      <c r="K129">
        <v>43750</v>
      </c>
      <c r="L129">
        <v>157845</v>
      </c>
      <c r="M129">
        <v>194938</v>
      </c>
      <c r="N129">
        <v>37093</v>
      </c>
      <c r="O129">
        <v>5151.8055555555557</v>
      </c>
      <c r="P129">
        <v>26710.961666666666</v>
      </c>
      <c r="Q129">
        <v>2094.4300000000003</v>
      </c>
      <c r="R129">
        <v>15362.24</v>
      </c>
      <c r="S129">
        <v>42073.201666666668</v>
      </c>
      <c r="T129">
        <v>0</v>
      </c>
      <c r="U129">
        <v>36128</v>
      </c>
      <c r="V129">
        <v>-32273.20166666666</v>
      </c>
      <c r="W129" s="31" t="str">
        <f>VLOOKUP(vehicle_data[[#This Row],[Vehicle]],upfront[],6,FALSE)</f>
        <v>Redford</v>
      </c>
    </row>
    <row r="130" spans="1:24" x14ac:dyDescent="0.45">
      <c r="A130" t="s">
        <v>134</v>
      </c>
      <c r="B130">
        <v>7</v>
      </c>
      <c r="C130">
        <v>9800.0000000000055</v>
      </c>
      <c r="D130">
        <v>215175</v>
      </c>
      <c r="E130">
        <v>0.16790054606715465</v>
      </c>
      <c r="F130">
        <v>9.1562820959683974E-2</v>
      </c>
      <c r="G130">
        <v>0.13719835534384159</v>
      </c>
      <c r="H130">
        <v>0.3966617223706802</v>
      </c>
      <c r="I130">
        <v>-39423.686111111099</v>
      </c>
      <c r="J130">
        <v>43751</v>
      </c>
      <c r="K130">
        <v>44115</v>
      </c>
      <c r="L130">
        <v>194938</v>
      </c>
      <c r="M130">
        <v>215175</v>
      </c>
      <c r="N130">
        <v>20237</v>
      </c>
      <c r="O130">
        <v>2810.6944444444443</v>
      </c>
      <c r="P130">
        <v>29521.656111111111</v>
      </c>
      <c r="Q130">
        <v>4339.79</v>
      </c>
      <c r="R130">
        <v>19702.03</v>
      </c>
      <c r="S130">
        <v>49223.686111111107</v>
      </c>
      <c r="T130">
        <v>0</v>
      </c>
      <c r="U130">
        <v>36128</v>
      </c>
      <c r="V130">
        <v>-39423.686111111099</v>
      </c>
      <c r="W130" s="31" t="str">
        <f>VLOOKUP(vehicle_data[[#This Row],[Vehicle]],upfront[],6,FALSE)</f>
        <v>Redford</v>
      </c>
    </row>
    <row r="131" spans="1:24" x14ac:dyDescent="0.45">
      <c r="A131" t="s">
        <v>134</v>
      </c>
      <c r="B131">
        <v>8</v>
      </c>
      <c r="C131">
        <v>9800.0000000000055</v>
      </c>
      <c r="D131">
        <v>222573</v>
      </c>
      <c r="E131">
        <v>0.16231977823006385</v>
      </c>
      <c r="F131">
        <v>8.9015064720338932E-2</v>
      </c>
      <c r="G131">
        <v>0.13817783878148343</v>
      </c>
      <c r="H131">
        <v>0.38951268173188619</v>
      </c>
      <c r="I131">
        <v>-40767.006111111106</v>
      </c>
      <c r="J131">
        <v>44116</v>
      </c>
      <c r="K131">
        <v>44480</v>
      </c>
      <c r="L131">
        <v>215175</v>
      </c>
      <c r="M131">
        <v>222573</v>
      </c>
      <c r="N131">
        <v>7398</v>
      </c>
      <c r="O131">
        <v>1233</v>
      </c>
      <c r="P131">
        <v>30754.656111111111</v>
      </c>
      <c r="Q131">
        <v>110.32</v>
      </c>
      <c r="R131">
        <v>19812.349999999999</v>
      </c>
      <c r="S131">
        <v>50567.006111111114</v>
      </c>
      <c r="T131">
        <v>0</v>
      </c>
      <c r="U131">
        <v>36128</v>
      </c>
      <c r="V131">
        <v>-40767.006111111106</v>
      </c>
      <c r="W131" s="31" t="str">
        <f>VLOOKUP(vehicle_data[[#This Row],[Vehicle]],upfront[],6,FALSE)</f>
        <v>Redford</v>
      </c>
    </row>
    <row r="132" spans="1:24" x14ac:dyDescent="0.45">
      <c r="A132" t="s">
        <v>135</v>
      </c>
      <c r="B132">
        <v>1</v>
      </c>
      <c r="C132">
        <v>40237.599999999999</v>
      </c>
      <c r="D132">
        <v>32500</v>
      </c>
      <c r="E132">
        <v>0.19982769230769229</v>
      </c>
      <c r="F132">
        <v>2.3290769230769233E-2</v>
      </c>
      <c r="G132">
        <v>0.13444444444444445</v>
      </c>
      <c r="H132">
        <v>0.35756290598290597</v>
      </c>
      <c r="I132">
        <v>35111.205555555556</v>
      </c>
      <c r="J132">
        <v>41652</v>
      </c>
      <c r="K132">
        <v>42016</v>
      </c>
      <c r="L132">
        <v>0</v>
      </c>
      <c r="M132">
        <v>32500</v>
      </c>
      <c r="N132">
        <v>32500</v>
      </c>
      <c r="O132">
        <v>4369.4444444444443</v>
      </c>
      <c r="P132">
        <v>4369.4444444444443</v>
      </c>
      <c r="Q132">
        <v>756.95</v>
      </c>
      <c r="R132">
        <v>756.95</v>
      </c>
      <c r="S132">
        <v>5126.3944444444442</v>
      </c>
      <c r="T132">
        <v>6494.4</v>
      </c>
      <c r="U132">
        <v>6494.4</v>
      </c>
      <c r="V132">
        <v>35111.205555555556</v>
      </c>
      <c r="W132" s="31" t="str">
        <f>VLOOKUP(vehicle_data[[#This Row],[Vehicle]],upfront[],6,FALSE)</f>
        <v>Redford</v>
      </c>
      <c r="X132">
        <v>5</v>
      </c>
    </row>
    <row r="133" spans="1:24" x14ac:dyDescent="0.45">
      <c r="A133" t="s">
        <v>135</v>
      </c>
      <c r="B133">
        <v>2</v>
      </c>
      <c r="C133">
        <v>33743.199999999997</v>
      </c>
      <c r="D133">
        <v>36768</v>
      </c>
      <c r="E133">
        <v>0.35326370757180153</v>
      </c>
      <c r="F133">
        <v>2.3148661879895564E-2</v>
      </c>
      <c r="G133">
        <v>0.13683051687457692</v>
      </c>
      <c r="H133">
        <v>0.51324288632627402</v>
      </c>
      <c r="I133">
        <v>27861.085555555554</v>
      </c>
      <c r="J133">
        <v>42017</v>
      </c>
      <c r="K133">
        <v>42381</v>
      </c>
      <c r="L133">
        <v>32500</v>
      </c>
      <c r="M133">
        <v>36768</v>
      </c>
      <c r="N133">
        <v>4268</v>
      </c>
      <c r="O133">
        <v>661.54</v>
      </c>
      <c r="P133">
        <v>5030.9844444444443</v>
      </c>
      <c r="Q133">
        <v>94.18</v>
      </c>
      <c r="R133">
        <v>851.13000000000011</v>
      </c>
      <c r="S133">
        <v>5882.1144444444444</v>
      </c>
      <c r="T133">
        <v>6494.4</v>
      </c>
      <c r="U133">
        <v>12988.8</v>
      </c>
      <c r="V133">
        <v>27861.085555555554</v>
      </c>
      <c r="W133" s="31" t="str">
        <f>VLOOKUP(vehicle_data[[#This Row],[Vehicle]],upfront[],6,FALSE)</f>
        <v>Redford</v>
      </c>
    </row>
    <row r="134" spans="1:24" x14ac:dyDescent="0.45">
      <c r="A134" t="s">
        <v>135</v>
      </c>
      <c r="B134">
        <v>3</v>
      </c>
      <c r="C134">
        <v>27248.799999999996</v>
      </c>
      <c r="D134">
        <v>50397</v>
      </c>
      <c r="E134">
        <v>0.38659444014524669</v>
      </c>
      <c r="F134">
        <v>2.0956207710776439E-2</v>
      </c>
      <c r="G134">
        <v>0.13888957235108793</v>
      </c>
      <c r="H134">
        <v>0.54644022020711103</v>
      </c>
      <c r="I134">
        <v>19193.052222222217</v>
      </c>
      <c r="J134">
        <v>42382</v>
      </c>
      <c r="K134">
        <v>42746</v>
      </c>
      <c r="L134">
        <v>36768</v>
      </c>
      <c r="M134">
        <v>50397</v>
      </c>
      <c r="N134">
        <v>13629</v>
      </c>
      <c r="O134">
        <v>1968.6333333333332</v>
      </c>
      <c r="P134">
        <v>6999.6177777777775</v>
      </c>
      <c r="Q134">
        <v>205</v>
      </c>
      <c r="R134">
        <v>1056.1300000000001</v>
      </c>
      <c r="S134">
        <v>8055.7477777777776</v>
      </c>
      <c r="T134">
        <v>6494.4</v>
      </c>
      <c r="U134">
        <v>19483.199999999997</v>
      </c>
      <c r="V134">
        <v>19193.052222222217</v>
      </c>
      <c r="W134" s="31" t="str">
        <f>VLOOKUP(vehicle_data[[#This Row],[Vehicle]],upfront[],6,FALSE)</f>
        <v>Redford</v>
      </c>
    </row>
    <row r="135" spans="1:24" x14ac:dyDescent="0.45">
      <c r="A135" t="s">
        <v>135</v>
      </c>
      <c r="B135">
        <v>4</v>
      </c>
      <c r="C135">
        <v>20754.399999999994</v>
      </c>
      <c r="D135">
        <v>60426</v>
      </c>
      <c r="E135">
        <v>0.42990765564492106</v>
      </c>
      <c r="F135">
        <v>3.4052063681196836E-2</v>
      </c>
      <c r="G135">
        <v>0.13575443977390159</v>
      </c>
      <c r="H135">
        <v>0.59971415910001946</v>
      </c>
      <c r="I135">
        <v>10493.672222222216</v>
      </c>
      <c r="J135">
        <v>42747</v>
      </c>
      <c r="K135">
        <v>43111</v>
      </c>
      <c r="L135">
        <v>50397</v>
      </c>
      <c r="M135">
        <v>60426</v>
      </c>
      <c r="N135">
        <v>10029</v>
      </c>
      <c r="O135">
        <v>1203.48</v>
      </c>
      <c r="P135">
        <v>8203.0977777777771</v>
      </c>
      <c r="Q135">
        <v>1001.5</v>
      </c>
      <c r="R135">
        <v>2057.63</v>
      </c>
      <c r="S135">
        <v>10260.727777777778</v>
      </c>
      <c r="T135">
        <v>6494.4</v>
      </c>
      <c r="U135">
        <v>25977.599999999999</v>
      </c>
      <c r="V135">
        <v>10493.672222222216</v>
      </c>
      <c r="W135" s="31" t="str">
        <f>VLOOKUP(vehicle_data[[#This Row],[Vehicle]],upfront[],6,FALSE)</f>
        <v>Redford</v>
      </c>
    </row>
    <row r="136" spans="1:24" x14ac:dyDescent="0.45">
      <c r="A136" t="s">
        <v>135</v>
      </c>
      <c r="B136">
        <v>5</v>
      </c>
      <c r="C136">
        <v>14259.999999999995</v>
      </c>
      <c r="D136">
        <v>97808</v>
      </c>
      <c r="E136">
        <v>0.33199738262718798</v>
      </c>
      <c r="F136">
        <v>5.113088908882709E-2</v>
      </c>
      <c r="G136">
        <v>0.13695241925223112</v>
      </c>
      <c r="H136">
        <v>0.52008069096824616</v>
      </c>
      <c r="I136">
        <v>-4136.0522222222262</v>
      </c>
      <c r="J136">
        <v>43112</v>
      </c>
      <c r="K136">
        <v>43476</v>
      </c>
      <c r="L136">
        <v>60426</v>
      </c>
      <c r="M136">
        <v>97808</v>
      </c>
      <c r="N136">
        <v>37382</v>
      </c>
      <c r="O136">
        <v>5191.9444444444443</v>
      </c>
      <c r="P136">
        <v>13395.042222222222</v>
      </c>
      <c r="Q136">
        <v>2943.38</v>
      </c>
      <c r="R136">
        <v>5001.01</v>
      </c>
      <c r="S136">
        <v>18396.052222222221</v>
      </c>
      <c r="T136">
        <v>6494.4</v>
      </c>
      <c r="U136">
        <v>32472</v>
      </c>
      <c r="V136">
        <v>-4136.0522222222262</v>
      </c>
      <c r="W136" s="31" t="str">
        <f>VLOOKUP(vehicle_data[[#This Row],[Vehicle]],upfront[],6,FALSE)</f>
        <v>Redford</v>
      </c>
    </row>
    <row r="137" spans="1:24" x14ac:dyDescent="0.45">
      <c r="A137" t="s">
        <v>135</v>
      </c>
      <c r="B137">
        <v>6</v>
      </c>
      <c r="C137">
        <v>14259.999999999995</v>
      </c>
      <c r="D137">
        <v>131276</v>
      </c>
      <c r="E137">
        <v>0.24735671409854049</v>
      </c>
      <c r="F137">
        <v>5.2876763460190747E-2</v>
      </c>
      <c r="G137">
        <v>0.13744611014622288</v>
      </c>
      <c r="H137">
        <v>0.43767958770495413</v>
      </c>
      <c r="I137">
        <v>-10724.825555555561</v>
      </c>
      <c r="J137">
        <v>43477</v>
      </c>
      <c r="K137">
        <v>43841</v>
      </c>
      <c r="L137">
        <v>97808</v>
      </c>
      <c r="M137">
        <v>131276</v>
      </c>
      <c r="N137">
        <v>33468</v>
      </c>
      <c r="O137">
        <v>4648.333333333333</v>
      </c>
      <c r="P137">
        <v>18043.375555555554</v>
      </c>
      <c r="Q137">
        <v>1940.44</v>
      </c>
      <c r="R137">
        <v>6941.4500000000007</v>
      </c>
      <c r="S137">
        <v>24984.825555555555</v>
      </c>
      <c r="T137">
        <v>0</v>
      </c>
      <c r="U137">
        <v>32472</v>
      </c>
      <c r="V137">
        <v>-10724.825555555561</v>
      </c>
      <c r="W137" s="31" t="str">
        <f>VLOOKUP(vehicle_data[[#This Row],[Vehicle]],upfront[],6,FALSE)</f>
        <v>Redford</v>
      </c>
    </row>
    <row r="138" spans="1:24" x14ac:dyDescent="0.45">
      <c r="A138" t="s">
        <v>135</v>
      </c>
      <c r="B138">
        <v>7</v>
      </c>
      <c r="C138">
        <v>14259.999999999995</v>
      </c>
      <c r="D138">
        <v>164712</v>
      </c>
      <c r="E138">
        <v>0.19714410607606003</v>
      </c>
      <c r="F138">
        <v>4.5756046918257326E-2</v>
      </c>
      <c r="G138">
        <v>0.14337778803136519</v>
      </c>
      <c r="H138">
        <v>0.38627794102568258</v>
      </c>
      <c r="I138">
        <v>-16892.612222222226</v>
      </c>
      <c r="J138">
        <v>43842</v>
      </c>
      <c r="K138">
        <v>44206</v>
      </c>
      <c r="L138">
        <v>131276</v>
      </c>
      <c r="M138">
        <v>164712</v>
      </c>
      <c r="N138">
        <v>33436</v>
      </c>
      <c r="O138">
        <v>5572.666666666667</v>
      </c>
      <c r="P138">
        <v>23616.042222222222</v>
      </c>
      <c r="Q138">
        <v>595.12</v>
      </c>
      <c r="R138">
        <v>7536.5700000000006</v>
      </c>
      <c r="S138">
        <v>31152.612222222222</v>
      </c>
      <c r="T138">
        <v>0</v>
      </c>
      <c r="U138">
        <v>32472</v>
      </c>
      <c r="V138">
        <v>-16892.612222222226</v>
      </c>
      <c r="W138" s="31" t="str">
        <f>VLOOKUP(vehicle_data[[#This Row],[Vehicle]],upfront[],6,FALSE)</f>
        <v>Redford</v>
      </c>
    </row>
    <row r="139" spans="1:24" x14ac:dyDescent="0.45">
      <c r="A139" t="s">
        <v>136</v>
      </c>
      <c r="B139">
        <v>1</v>
      </c>
      <c r="C139">
        <v>39741.599999999999</v>
      </c>
      <c r="D139">
        <v>29286</v>
      </c>
      <c r="E139">
        <v>0.23869425664139859</v>
      </c>
      <c r="F139">
        <v>1.0246534180154339E-2</v>
      </c>
      <c r="G139">
        <v>0.155</v>
      </c>
      <c r="H139">
        <v>0.40394079082155293</v>
      </c>
      <c r="I139">
        <v>34902.19</v>
      </c>
      <c r="J139">
        <v>42005</v>
      </c>
      <c r="K139">
        <v>42369</v>
      </c>
      <c r="L139">
        <v>0</v>
      </c>
      <c r="M139">
        <v>29286</v>
      </c>
      <c r="N139">
        <v>29286</v>
      </c>
      <c r="O139">
        <v>4539.33</v>
      </c>
      <c r="P139">
        <v>4539.33</v>
      </c>
      <c r="Q139">
        <v>300.08</v>
      </c>
      <c r="R139">
        <v>300.08</v>
      </c>
      <c r="S139">
        <v>4839.41</v>
      </c>
      <c r="T139">
        <v>6990.4</v>
      </c>
      <c r="U139">
        <v>6990.4</v>
      </c>
      <c r="V139">
        <v>34902.19</v>
      </c>
      <c r="W139" s="31" t="str">
        <f>VLOOKUP(vehicle_data[[#This Row],[Vehicle]],upfront[],6,FALSE)</f>
        <v>Redford</v>
      </c>
      <c r="X139">
        <v>4</v>
      </c>
    </row>
    <row r="140" spans="1:24" x14ac:dyDescent="0.45">
      <c r="A140" t="s">
        <v>136</v>
      </c>
      <c r="B140">
        <v>2</v>
      </c>
      <c r="C140">
        <v>32751.199999999997</v>
      </c>
      <c r="D140">
        <v>65755</v>
      </c>
      <c r="E140">
        <v>0.21261957265607176</v>
      </c>
      <c r="F140">
        <v>1.0798874610295793E-2</v>
      </c>
      <c r="G140">
        <v>0.14914568389391597</v>
      </c>
      <c r="H140">
        <v>0.37256413116028353</v>
      </c>
      <c r="I140">
        <v>22234.045555555553</v>
      </c>
      <c r="J140">
        <v>42370</v>
      </c>
      <c r="K140">
        <v>42734</v>
      </c>
      <c r="L140">
        <v>29286</v>
      </c>
      <c r="M140">
        <v>65755</v>
      </c>
      <c r="N140">
        <v>36469</v>
      </c>
      <c r="O140">
        <v>5267.7444444444445</v>
      </c>
      <c r="P140">
        <v>9807.0744444444445</v>
      </c>
      <c r="Q140">
        <v>410</v>
      </c>
      <c r="R140">
        <v>710.07999999999993</v>
      </c>
      <c r="S140">
        <v>10517.154444444444</v>
      </c>
      <c r="T140">
        <v>6990.4</v>
      </c>
      <c r="U140">
        <v>13980.8</v>
      </c>
      <c r="V140">
        <v>22234.045555555553</v>
      </c>
      <c r="W140" s="31" t="str">
        <f>VLOOKUP(vehicle_data[[#This Row],[Vehicle]],upfront[],6,FALSE)</f>
        <v>Redford</v>
      </c>
    </row>
    <row r="141" spans="1:24" x14ac:dyDescent="0.45">
      <c r="A141" t="s">
        <v>136</v>
      </c>
      <c r="B141">
        <v>3</v>
      </c>
      <c r="C141">
        <v>25760.799999999996</v>
      </c>
      <c r="D141">
        <v>98246</v>
      </c>
      <c r="E141">
        <v>0.21345601856564131</v>
      </c>
      <c r="F141">
        <v>1.6803126844858823E-2</v>
      </c>
      <c r="G141">
        <v>0.14759093386895028</v>
      </c>
      <c r="H141">
        <v>0.37785007927945041</v>
      </c>
      <c r="I141">
        <v>9609.7411111111069</v>
      </c>
      <c r="J141">
        <v>42735</v>
      </c>
      <c r="K141">
        <v>43099</v>
      </c>
      <c r="L141">
        <v>65755</v>
      </c>
      <c r="M141">
        <v>98246</v>
      </c>
      <c r="N141">
        <v>32491</v>
      </c>
      <c r="O141">
        <v>4693.1444444444451</v>
      </c>
      <c r="P141">
        <v>14500.218888888889</v>
      </c>
      <c r="Q141">
        <v>940.76</v>
      </c>
      <c r="R141">
        <v>1650.84</v>
      </c>
      <c r="S141">
        <v>16151.058888888889</v>
      </c>
      <c r="T141">
        <v>6990.4</v>
      </c>
      <c r="U141">
        <v>20971.199999999997</v>
      </c>
      <c r="V141">
        <v>9609.7411111111069</v>
      </c>
      <c r="W141" s="31" t="str">
        <f>VLOOKUP(vehicle_data[[#This Row],[Vehicle]],upfront[],6,FALSE)</f>
        <v>Redford</v>
      </c>
    </row>
    <row r="142" spans="1:24" x14ac:dyDescent="0.45">
      <c r="A142" t="s">
        <v>136</v>
      </c>
      <c r="B142">
        <v>4</v>
      </c>
      <c r="C142">
        <v>18770.399999999994</v>
      </c>
      <c r="D142">
        <v>130271</v>
      </c>
      <c r="E142">
        <v>0.21464178520161814</v>
      </c>
      <c r="F142">
        <v>2.0229675061986169E-2</v>
      </c>
      <c r="G142">
        <v>0.14080815291882989</v>
      </c>
      <c r="H142">
        <v>0.3756796131824342</v>
      </c>
      <c r="I142">
        <v>-2208.1588888888946</v>
      </c>
      <c r="J142">
        <v>43100</v>
      </c>
      <c r="K142">
        <v>43464</v>
      </c>
      <c r="L142">
        <v>98246</v>
      </c>
      <c r="M142">
        <v>130271</v>
      </c>
      <c r="N142">
        <v>32025</v>
      </c>
      <c r="O142">
        <v>3843.0000000000005</v>
      </c>
      <c r="P142">
        <v>18343.218888888889</v>
      </c>
      <c r="Q142">
        <v>984.5</v>
      </c>
      <c r="R142">
        <v>2635.34</v>
      </c>
      <c r="S142">
        <v>20978.558888888889</v>
      </c>
      <c r="T142">
        <v>6990.4</v>
      </c>
      <c r="U142">
        <v>27961.599999999999</v>
      </c>
      <c r="V142">
        <v>-2208.1588888888946</v>
      </c>
      <c r="W142" s="31" t="str">
        <f>VLOOKUP(vehicle_data[[#This Row],[Vehicle]],upfront[],6,FALSE)</f>
        <v>Redford</v>
      </c>
    </row>
    <row r="143" spans="1:24" x14ac:dyDescent="0.45">
      <c r="A143" t="s">
        <v>136</v>
      </c>
      <c r="B143">
        <v>5</v>
      </c>
      <c r="C143">
        <v>11779.999999999995</v>
      </c>
      <c r="D143">
        <v>154672</v>
      </c>
      <c r="E143">
        <v>0.22597496638046963</v>
      </c>
      <c r="F143">
        <v>3.7067665770145856E-2</v>
      </c>
      <c r="G143">
        <v>0.14050537050446535</v>
      </c>
      <c r="H143">
        <v>0.40354800265508084</v>
      </c>
      <c r="I143">
        <v>-15685.576666666673</v>
      </c>
      <c r="J143">
        <v>43465</v>
      </c>
      <c r="K143">
        <v>43829</v>
      </c>
      <c r="L143">
        <v>130271</v>
      </c>
      <c r="M143">
        <v>154672</v>
      </c>
      <c r="N143">
        <v>24401</v>
      </c>
      <c r="O143">
        <v>3389.0277777777778</v>
      </c>
      <c r="P143">
        <v>21732.246666666666</v>
      </c>
      <c r="Q143">
        <v>3097.99</v>
      </c>
      <c r="R143">
        <v>5733.33</v>
      </c>
      <c r="S143">
        <v>27465.576666666668</v>
      </c>
      <c r="T143">
        <v>6990.4</v>
      </c>
      <c r="U143">
        <v>34952</v>
      </c>
      <c r="V143">
        <v>-15685.576666666673</v>
      </c>
      <c r="W143" s="31" t="str">
        <f>VLOOKUP(vehicle_data[[#This Row],[Vehicle]],upfront[],6,FALSE)</f>
        <v>Redford</v>
      </c>
    </row>
    <row r="144" spans="1:24" x14ac:dyDescent="0.45">
      <c r="A144" t="s">
        <v>136</v>
      </c>
      <c r="B144">
        <v>6</v>
      </c>
      <c r="C144">
        <v>11779.999999999995</v>
      </c>
      <c r="D144">
        <v>160415</v>
      </c>
      <c r="E144">
        <v>0.21788486114141445</v>
      </c>
      <c r="F144">
        <v>3.6285758813078578E-2</v>
      </c>
      <c r="G144">
        <v>0.14044749902163486</v>
      </c>
      <c r="H144">
        <v>0.39461811897612786</v>
      </c>
      <c r="I144">
        <v>-16570.665555555563</v>
      </c>
      <c r="J144">
        <v>43830</v>
      </c>
      <c r="K144">
        <v>44194</v>
      </c>
      <c r="L144">
        <v>154672</v>
      </c>
      <c r="M144">
        <v>160415</v>
      </c>
      <c r="N144">
        <v>5743</v>
      </c>
      <c r="O144">
        <v>797.63888888888891</v>
      </c>
      <c r="P144">
        <v>22529.885555555556</v>
      </c>
      <c r="Q144">
        <v>87.45</v>
      </c>
      <c r="R144">
        <v>5820.78</v>
      </c>
      <c r="S144">
        <v>28350.665555555555</v>
      </c>
      <c r="T144">
        <v>0</v>
      </c>
      <c r="U144">
        <v>34952</v>
      </c>
      <c r="V144">
        <v>-16570.665555555563</v>
      </c>
      <c r="W144" s="31" t="str">
        <f>VLOOKUP(vehicle_data[[#This Row],[Vehicle]],upfront[],6,FALSE)</f>
        <v>Redford</v>
      </c>
    </row>
    <row r="145" spans="1:24" x14ac:dyDescent="0.45">
      <c r="A145" t="s">
        <v>137</v>
      </c>
      <c r="B145">
        <v>1</v>
      </c>
      <c r="C145">
        <v>39657.599999999999</v>
      </c>
      <c r="D145">
        <v>29658</v>
      </c>
      <c r="E145">
        <v>0.2385326050306831</v>
      </c>
      <c r="F145">
        <v>9.6051655539820622E-3</v>
      </c>
      <c r="G145">
        <v>0.15500000000000003</v>
      </c>
      <c r="H145">
        <v>0.40313777058466516</v>
      </c>
      <c r="I145">
        <v>34775.74</v>
      </c>
      <c r="J145">
        <v>42005</v>
      </c>
      <c r="K145">
        <v>42369</v>
      </c>
      <c r="L145">
        <v>0</v>
      </c>
      <c r="M145">
        <v>29658</v>
      </c>
      <c r="N145">
        <v>29658</v>
      </c>
      <c r="O145">
        <v>4596.9900000000007</v>
      </c>
      <c r="P145">
        <v>4596.9900000000007</v>
      </c>
      <c r="Q145">
        <v>284.87</v>
      </c>
      <c r="R145">
        <v>284.87</v>
      </c>
      <c r="S145">
        <v>4881.8600000000006</v>
      </c>
      <c r="T145">
        <v>7074.4</v>
      </c>
      <c r="U145">
        <v>7074.4</v>
      </c>
      <c r="V145">
        <v>34775.74</v>
      </c>
      <c r="W145" s="31" t="str">
        <f>VLOOKUP(vehicle_data[[#This Row],[Vehicle]],upfront[],6,FALSE)</f>
        <v>Redford</v>
      </c>
      <c r="X145">
        <v>4</v>
      </c>
    </row>
    <row r="146" spans="1:24" x14ac:dyDescent="0.45">
      <c r="A146" t="s">
        <v>137</v>
      </c>
      <c r="B146">
        <v>2</v>
      </c>
      <c r="C146">
        <v>32583.199999999997</v>
      </c>
      <c r="D146">
        <v>87810</v>
      </c>
      <c r="E146">
        <v>0.16112971187791822</v>
      </c>
      <c r="F146">
        <v>6.4898075390046692E-3</v>
      </c>
      <c r="G146">
        <v>0.14800960406939226</v>
      </c>
      <c r="H146">
        <v>0.31562912348631511</v>
      </c>
      <c r="I146">
        <v>19016.606666666659</v>
      </c>
      <c r="J146">
        <v>42370</v>
      </c>
      <c r="K146">
        <v>42734</v>
      </c>
      <c r="L146">
        <v>29658</v>
      </c>
      <c r="M146">
        <v>87810</v>
      </c>
      <c r="N146">
        <v>58152</v>
      </c>
      <c r="O146">
        <v>8399.7333333333336</v>
      </c>
      <c r="P146">
        <v>12996.723333333335</v>
      </c>
      <c r="Q146">
        <v>285</v>
      </c>
      <c r="R146">
        <v>569.87</v>
      </c>
      <c r="S146">
        <v>13566.593333333336</v>
      </c>
      <c r="T146">
        <v>7074.4</v>
      </c>
      <c r="U146">
        <v>14148.8</v>
      </c>
      <c r="V146">
        <v>19016.606666666659</v>
      </c>
      <c r="W146" s="31" t="str">
        <f>VLOOKUP(vehicle_data[[#This Row],[Vehicle]],upfront[],6,FALSE)</f>
        <v>Redford</v>
      </c>
    </row>
    <row r="147" spans="1:24" x14ac:dyDescent="0.45">
      <c r="A147" t="s">
        <v>137</v>
      </c>
      <c r="B147">
        <v>3</v>
      </c>
      <c r="C147">
        <v>25508.799999999996</v>
      </c>
      <c r="D147">
        <v>126546</v>
      </c>
      <c r="E147">
        <v>0.16771134607178415</v>
      </c>
      <c r="F147">
        <v>1.2073475258008944E-2</v>
      </c>
      <c r="G147">
        <v>0.1469183011184339</v>
      </c>
      <c r="H147">
        <v>0.32670312244822697</v>
      </c>
      <c r="I147">
        <v>5389.0266666666612</v>
      </c>
      <c r="J147">
        <v>42735</v>
      </c>
      <c r="K147">
        <v>43099</v>
      </c>
      <c r="L147">
        <v>87810</v>
      </c>
      <c r="M147">
        <v>126546</v>
      </c>
      <c r="N147">
        <v>38736</v>
      </c>
      <c r="O147">
        <v>5595.2</v>
      </c>
      <c r="P147">
        <v>18591.923333333336</v>
      </c>
      <c r="Q147">
        <v>957.98</v>
      </c>
      <c r="R147">
        <v>1527.85</v>
      </c>
      <c r="S147">
        <v>20119.773333333334</v>
      </c>
      <c r="T147">
        <v>7074.4</v>
      </c>
      <c r="U147">
        <v>21223.199999999997</v>
      </c>
      <c r="V147">
        <v>5389.0266666666612</v>
      </c>
      <c r="W147" s="31" t="str">
        <f>VLOOKUP(vehicle_data[[#This Row],[Vehicle]],upfront[],6,FALSE)</f>
        <v>Redford</v>
      </c>
    </row>
    <row r="148" spans="1:24" x14ac:dyDescent="0.45">
      <c r="A148" t="s">
        <v>137</v>
      </c>
      <c r="B148">
        <v>4</v>
      </c>
      <c r="C148">
        <v>18434.399999999994</v>
      </c>
      <c r="D148">
        <v>154863</v>
      </c>
      <c r="E148">
        <v>0.18272666808727714</v>
      </c>
      <c r="F148">
        <v>2.8217004707386532E-2</v>
      </c>
      <c r="G148">
        <v>0.14199623753468121</v>
      </c>
      <c r="H148">
        <v>0.35293991032934491</v>
      </c>
      <c r="I148">
        <v>-7925.333333333343</v>
      </c>
      <c r="J148">
        <v>43100</v>
      </c>
      <c r="K148">
        <v>43464</v>
      </c>
      <c r="L148">
        <v>126546</v>
      </c>
      <c r="M148">
        <v>154863</v>
      </c>
      <c r="N148">
        <v>28317</v>
      </c>
      <c r="O148">
        <v>3398.0400000000004</v>
      </c>
      <c r="P148">
        <v>21989.963333333337</v>
      </c>
      <c r="Q148">
        <v>2841.92</v>
      </c>
      <c r="R148">
        <v>4369.7700000000004</v>
      </c>
      <c r="S148">
        <v>26359.733333333337</v>
      </c>
      <c r="T148">
        <v>7074.4</v>
      </c>
      <c r="U148">
        <v>28297.599999999999</v>
      </c>
      <c r="V148">
        <v>-7925.333333333343</v>
      </c>
      <c r="W148" s="31" t="str">
        <f>VLOOKUP(vehicle_data[[#This Row],[Vehicle]],upfront[],6,FALSE)</f>
        <v>Redford</v>
      </c>
    </row>
    <row r="149" spans="1:24" x14ac:dyDescent="0.45">
      <c r="A149" t="s">
        <v>137</v>
      </c>
      <c r="B149">
        <v>5</v>
      </c>
      <c r="C149">
        <v>11359.999999999995</v>
      </c>
      <c r="D149">
        <v>174559</v>
      </c>
      <c r="E149">
        <v>0.20263635790764153</v>
      </c>
      <c r="F149">
        <v>5.4208605686329556E-2</v>
      </c>
      <c r="G149">
        <v>0.14164562634346492</v>
      </c>
      <c r="H149">
        <v>0.39849058993743602</v>
      </c>
      <c r="I149">
        <v>-22828.118888888901</v>
      </c>
      <c r="J149">
        <v>43465</v>
      </c>
      <c r="K149">
        <v>43829</v>
      </c>
      <c r="L149">
        <v>154863</v>
      </c>
      <c r="M149">
        <v>174559</v>
      </c>
      <c r="N149">
        <v>19696</v>
      </c>
      <c r="O149">
        <v>2735.5555555555557</v>
      </c>
      <c r="P149">
        <v>24725.518888888892</v>
      </c>
      <c r="Q149">
        <v>5092.83</v>
      </c>
      <c r="R149">
        <v>9462.6</v>
      </c>
      <c r="S149">
        <v>34188.118888888894</v>
      </c>
      <c r="T149">
        <v>7074.4</v>
      </c>
      <c r="U149">
        <v>35372</v>
      </c>
      <c r="V149">
        <v>-22828.118888888901</v>
      </c>
      <c r="W149" s="31" t="str">
        <f>VLOOKUP(vehicle_data[[#This Row],[Vehicle]],upfront[],6,FALSE)</f>
        <v>Redford</v>
      </c>
    </row>
    <row r="150" spans="1:24" x14ac:dyDescent="0.45">
      <c r="A150" t="s">
        <v>137</v>
      </c>
      <c r="B150">
        <v>6</v>
      </c>
      <c r="C150">
        <v>11359.999999999995</v>
      </c>
      <c r="D150">
        <v>187457</v>
      </c>
      <c r="E150">
        <v>0.18869394047701607</v>
      </c>
      <c r="F150">
        <v>5.2058658785748196E-2</v>
      </c>
      <c r="G150">
        <v>0.1414559487123862</v>
      </c>
      <c r="H150">
        <v>0.38220854797515047</v>
      </c>
      <c r="I150">
        <v>-24915.667777777788</v>
      </c>
      <c r="J150">
        <v>43830</v>
      </c>
      <c r="K150">
        <v>44194</v>
      </c>
      <c r="L150">
        <v>174559</v>
      </c>
      <c r="M150">
        <v>187457</v>
      </c>
      <c r="N150">
        <v>12898</v>
      </c>
      <c r="O150">
        <v>1791.3888888888889</v>
      </c>
      <c r="P150">
        <v>26516.907777777782</v>
      </c>
      <c r="Q150">
        <v>296.15999999999997</v>
      </c>
      <c r="R150">
        <v>9758.76</v>
      </c>
      <c r="S150">
        <v>36275.66777777778</v>
      </c>
      <c r="T150">
        <v>0</v>
      </c>
      <c r="U150">
        <v>35372</v>
      </c>
      <c r="V150">
        <v>-24915.667777777788</v>
      </c>
      <c r="W150" s="31" t="str">
        <f>VLOOKUP(vehicle_data[[#This Row],[Vehicle]],upfront[],6,FALSE)</f>
        <v>Redford</v>
      </c>
    </row>
    <row r="151" spans="1:24" x14ac:dyDescent="0.45">
      <c r="A151" t="s">
        <v>138</v>
      </c>
      <c r="B151">
        <v>1</v>
      </c>
      <c r="C151">
        <v>33114</v>
      </c>
      <c r="D151">
        <v>41958</v>
      </c>
      <c r="E151">
        <v>0.26536059869393203</v>
      </c>
      <c r="F151">
        <v>2.9169407502740833E-2</v>
      </c>
      <c r="G151">
        <v>0.15625</v>
      </c>
      <c r="H151">
        <v>0.45078000619667286</v>
      </c>
      <c r="I151">
        <v>25334.172500000001</v>
      </c>
      <c r="J151">
        <v>43542</v>
      </c>
      <c r="K151">
        <v>43906</v>
      </c>
      <c r="L151">
        <v>0</v>
      </c>
      <c r="M151">
        <v>41958</v>
      </c>
      <c r="N151">
        <v>41958</v>
      </c>
      <c r="O151">
        <v>6555.9375</v>
      </c>
      <c r="P151">
        <v>6555.9375</v>
      </c>
      <c r="Q151">
        <v>1223.8899999999999</v>
      </c>
      <c r="R151">
        <v>1223.8899999999999</v>
      </c>
      <c r="S151">
        <v>7779.8274999999994</v>
      </c>
      <c r="T151">
        <v>11134</v>
      </c>
      <c r="U151">
        <v>11134</v>
      </c>
      <c r="V151">
        <v>25334.172500000001</v>
      </c>
      <c r="W151" s="31" t="str">
        <f>VLOOKUP(vehicle_data[[#This Row],[Vehicle]],upfront[],6,FALSE)</f>
        <v>Redford</v>
      </c>
      <c r="X151" t="s">
        <v>190</v>
      </c>
    </row>
    <row r="152" spans="1:24" x14ac:dyDescent="0.45">
      <c r="A152" t="s">
        <v>138</v>
      </c>
      <c r="B152">
        <v>2</v>
      </c>
      <c r="C152">
        <v>21980</v>
      </c>
      <c r="D152">
        <v>69589</v>
      </c>
      <c r="E152">
        <v>0.31999310235813133</v>
      </c>
      <c r="F152">
        <v>3.8800816220954458E-2</v>
      </c>
      <c r="G152">
        <v>0.16865812125479601</v>
      </c>
      <c r="H152">
        <v>0.52745203983388178</v>
      </c>
      <c r="I152">
        <v>7543.1399999999994</v>
      </c>
      <c r="J152">
        <v>43907</v>
      </c>
      <c r="K152">
        <v>44271</v>
      </c>
      <c r="L152">
        <v>41958</v>
      </c>
      <c r="M152">
        <v>69589</v>
      </c>
      <c r="N152">
        <v>27631</v>
      </c>
      <c r="O152">
        <v>5180.8125</v>
      </c>
      <c r="P152">
        <v>11736.75</v>
      </c>
      <c r="Q152">
        <v>1476.22</v>
      </c>
      <c r="R152">
        <v>2700.1099999999997</v>
      </c>
      <c r="S152">
        <v>14436.86</v>
      </c>
      <c r="T152">
        <v>11134</v>
      </c>
      <c r="U152">
        <v>22268</v>
      </c>
      <c r="V152">
        <v>7543.1399999999994</v>
      </c>
      <c r="W152" s="31" t="str">
        <f>VLOOKUP(vehicle_data[[#This Row],[Vehicle]],upfront[],6,FALSE)</f>
        <v>Redford</v>
      </c>
    </row>
    <row r="153" spans="1:24" x14ac:dyDescent="0.45">
      <c r="A153" t="s">
        <v>139</v>
      </c>
      <c r="B153">
        <v>1</v>
      </c>
      <c r="C153">
        <v>25000</v>
      </c>
      <c r="D153">
        <v>25392</v>
      </c>
      <c r="E153">
        <v>0.73534971644612479</v>
      </c>
      <c r="F153">
        <v>9.1517013232514169E-3</v>
      </c>
      <c r="G153">
        <v>0.19999999999999998</v>
      </c>
      <c r="H153">
        <v>0.94450141776937613</v>
      </c>
      <c r="I153">
        <v>19689.22</v>
      </c>
      <c r="J153">
        <v>43855</v>
      </c>
      <c r="K153">
        <v>44219</v>
      </c>
      <c r="L153">
        <v>0</v>
      </c>
      <c r="M153">
        <v>25392</v>
      </c>
      <c r="N153">
        <v>25392</v>
      </c>
      <c r="O153">
        <v>5078.3999999999996</v>
      </c>
      <c r="P153">
        <v>5078.3999999999996</v>
      </c>
      <c r="Q153">
        <v>232.38</v>
      </c>
      <c r="R153">
        <v>232.38</v>
      </c>
      <c r="S153">
        <v>5310.78</v>
      </c>
      <c r="T153">
        <v>18672</v>
      </c>
      <c r="U153">
        <v>18672</v>
      </c>
      <c r="V153">
        <v>19689.22</v>
      </c>
      <c r="W153" s="31" t="str">
        <f>VLOOKUP(vehicle_data[[#This Row],[Vehicle]],upfront[],6,FALSE)</f>
        <v>Redford</v>
      </c>
      <c r="X153" t="s">
        <v>190</v>
      </c>
    </row>
    <row r="154" spans="1:24" x14ac:dyDescent="0.45">
      <c r="A154" t="s">
        <v>116</v>
      </c>
      <c r="B154">
        <v>1</v>
      </c>
      <c r="C154">
        <v>40959.599999999999</v>
      </c>
      <c r="D154">
        <v>14348</v>
      </c>
      <c r="E154">
        <v>0.40231391134652911</v>
      </c>
      <c r="F154">
        <v>1.7424031223863955E-2</v>
      </c>
      <c r="G154">
        <v>0.155</v>
      </c>
      <c r="H154">
        <v>0.57473794257039301</v>
      </c>
      <c r="I154">
        <v>38485.659999999996</v>
      </c>
      <c r="J154">
        <v>42005</v>
      </c>
      <c r="K154">
        <v>42369</v>
      </c>
      <c r="L154">
        <v>0</v>
      </c>
      <c r="M154">
        <v>14348</v>
      </c>
      <c r="N154">
        <v>14348</v>
      </c>
      <c r="O154">
        <v>2223.94</v>
      </c>
      <c r="P154">
        <v>2223.94</v>
      </c>
      <c r="Q154">
        <v>250</v>
      </c>
      <c r="R154">
        <v>250</v>
      </c>
      <c r="S154">
        <v>2473.94</v>
      </c>
      <c r="T154">
        <v>5772.4</v>
      </c>
      <c r="U154">
        <v>5772.4</v>
      </c>
      <c r="V154">
        <v>38485.659999999996</v>
      </c>
      <c r="W154" s="31" t="str">
        <f>VLOOKUP(vehicle_data[[#This Row],[Vehicle]],upfront[],6,FALSE)</f>
        <v>Grand Rapids</v>
      </c>
      <c r="X154" t="s">
        <v>190</v>
      </c>
    </row>
    <row r="155" spans="1:24" x14ac:dyDescent="0.45">
      <c r="A155" t="s">
        <v>116</v>
      </c>
      <c r="B155">
        <v>2</v>
      </c>
      <c r="C155">
        <v>35187.199999999997</v>
      </c>
      <c r="D155">
        <v>33705</v>
      </c>
      <c r="E155">
        <v>0.34252484794540866</v>
      </c>
      <c r="F155">
        <v>1.483459427384661E-2</v>
      </c>
      <c r="G155">
        <v>0.14893787601575764</v>
      </c>
      <c r="H155">
        <v>0.50629731823501289</v>
      </c>
      <c r="I155">
        <v>29667.248888888884</v>
      </c>
      <c r="J155">
        <v>42370</v>
      </c>
      <c r="K155">
        <v>42734</v>
      </c>
      <c r="L155">
        <v>14348</v>
      </c>
      <c r="M155">
        <v>33705</v>
      </c>
      <c r="N155">
        <v>19357</v>
      </c>
      <c r="O155">
        <v>2796.0111111111114</v>
      </c>
      <c r="P155">
        <v>5019.9511111111115</v>
      </c>
      <c r="Q155">
        <v>250</v>
      </c>
      <c r="R155">
        <v>500</v>
      </c>
      <c r="S155">
        <v>5519.9511111111115</v>
      </c>
      <c r="T155">
        <v>5772.4</v>
      </c>
      <c r="U155">
        <v>11544.8</v>
      </c>
      <c r="V155">
        <v>29667.248888888884</v>
      </c>
      <c r="W155" s="31" t="str">
        <f>VLOOKUP(vehicle_data[[#This Row],[Vehicle]],upfront[],6,FALSE)</f>
        <v>Grand Rapids</v>
      </c>
    </row>
    <row r="156" spans="1:24" x14ac:dyDescent="0.45">
      <c r="A156" t="s">
        <v>116</v>
      </c>
      <c r="B156">
        <v>3</v>
      </c>
      <c r="C156">
        <v>29414.799999999996</v>
      </c>
      <c r="D156">
        <v>51420</v>
      </c>
      <c r="E156">
        <v>0.33677946324387392</v>
      </c>
      <c r="F156">
        <v>2.024095682613769E-2</v>
      </c>
      <c r="G156">
        <v>0.1473898180560958</v>
      </c>
      <c r="H156">
        <v>0.50441023812610741</v>
      </c>
      <c r="I156">
        <v>20795.225555555549</v>
      </c>
      <c r="J156">
        <v>42735</v>
      </c>
      <c r="K156">
        <v>43099</v>
      </c>
      <c r="L156">
        <v>33705</v>
      </c>
      <c r="M156">
        <v>51420</v>
      </c>
      <c r="N156">
        <v>17715</v>
      </c>
      <c r="O156">
        <v>2558.8333333333335</v>
      </c>
      <c r="P156">
        <v>7578.7844444444454</v>
      </c>
      <c r="Q156">
        <v>540.79</v>
      </c>
      <c r="R156">
        <v>1040.79</v>
      </c>
      <c r="S156">
        <v>8619.5744444444463</v>
      </c>
      <c r="T156">
        <v>5772.4</v>
      </c>
      <c r="U156">
        <v>17317.199999999997</v>
      </c>
      <c r="V156">
        <v>20795.225555555549</v>
      </c>
      <c r="W156" s="31" t="str">
        <f>VLOOKUP(vehicle_data[[#This Row],[Vehicle]],upfront[],6,FALSE)</f>
        <v>Grand Rapids</v>
      </c>
    </row>
    <row r="157" spans="1:24" x14ac:dyDescent="0.45">
      <c r="A157" t="s">
        <v>116</v>
      </c>
      <c r="B157">
        <v>4</v>
      </c>
      <c r="C157">
        <v>23642.399999999994</v>
      </c>
      <c r="D157">
        <v>57451</v>
      </c>
      <c r="E157">
        <v>0.40190075020452209</v>
      </c>
      <c r="F157">
        <v>5.1444013159039882E-2</v>
      </c>
      <c r="G157">
        <v>0.14451453315772475</v>
      </c>
      <c r="H157">
        <v>0.59785929652128678</v>
      </c>
      <c r="I157">
        <v>12384.385555555549</v>
      </c>
      <c r="J157">
        <v>43100</v>
      </c>
      <c r="K157">
        <v>43464</v>
      </c>
      <c r="L157">
        <v>51420</v>
      </c>
      <c r="M157">
        <v>57451</v>
      </c>
      <c r="N157">
        <v>6031</v>
      </c>
      <c r="O157">
        <v>723.72</v>
      </c>
      <c r="P157">
        <v>8302.5044444444447</v>
      </c>
      <c r="Q157">
        <v>1914.72</v>
      </c>
      <c r="R157">
        <v>2955.51</v>
      </c>
      <c r="S157">
        <v>11258.014444444445</v>
      </c>
      <c r="T157">
        <v>5772.4</v>
      </c>
      <c r="U157">
        <v>23089.599999999999</v>
      </c>
      <c r="V157">
        <v>12384.385555555549</v>
      </c>
      <c r="W157" s="31" t="str">
        <f>VLOOKUP(vehicle_data[[#This Row],[Vehicle]],upfront[],6,FALSE)</f>
        <v>Grand Rapids</v>
      </c>
    </row>
    <row r="158" spans="1:24" x14ac:dyDescent="0.45">
      <c r="A158" t="s">
        <v>116</v>
      </c>
      <c r="B158">
        <v>5</v>
      </c>
      <c r="C158">
        <v>17869.999999999993</v>
      </c>
      <c r="D158">
        <v>75495</v>
      </c>
      <c r="E158">
        <v>0.38230346380555003</v>
      </c>
      <c r="F158">
        <v>4.1715610305318236E-2</v>
      </c>
      <c r="G158">
        <v>0.14316995238831123</v>
      </c>
      <c r="H158">
        <v>0.56718902649917946</v>
      </c>
      <c r="I158">
        <v>3912.064444444437</v>
      </c>
      <c r="J158">
        <v>43465</v>
      </c>
      <c r="K158">
        <v>43829</v>
      </c>
      <c r="L158">
        <v>57451</v>
      </c>
      <c r="M158">
        <v>75495</v>
      </c>
      <c r="N158">
        <v>18044</v>
      </c>
      <c r="O158">
        <v>2506.1111111111113</v>
      </c>
      <c r="P158">
        <v>10808.615555555556</v>
      </c>
      <c r="Q158">
        <v>193.81</v>
      </c>
      <c r="R158">
        <v>3149.32</v>
      </c>
      <c r="S158">
        <v>13957.935555555556</v>
      </c>
      <c r="T158">
        <v>5772.4</v>
      </c>
      <c r="U158">
        <v>28862</v>
      </c>
      <c r="V158">
        <v>3912.064444444437</v>
      </c>
      <c r="W158" s="31" t="str">
        <f>VLOOKUP(vehicle_data[[#This Row],[Vehicle]],upfront[],6,FALSE)</f>
        <v>Grand Rapids</v>
      </c>
    </row>
    <row r="159" spans="1:24" x14ac:dyDescent="0.45">
      <c r="A159" t="s">
        <v>116</v>
      </c>
      <c r="B159">
        <v>6</v>
      </c>
      <c r="C159">
        <v>17869.999999999993</v>
      </c>
      <c r="D159">
        <v>80961</v>
      </c>
      <c r="E159">
        <v>0.35649263225503636</v>
      </c>
      <c r="F159">
        <v>4.5123701535307127E-2</v>
      </c>
      <c r="G159">
        <v>0.14288092071765693</v>
      </c>
      <c r="H159">
        <v>0.54449725450800046</v>
      </c>
      <c r="I159">
        <v>2648.9577777777704</v>
      </c>
      <c r="J159">
        <v>43830</v>
      </c>
      <c r="K159">
        <v>44194</v>
      </c>
      <c r="L159">
        <v>75495</v>
      </c>
      <c r="M159">
        <v>80961</v>
      </c>
      <c r="N159">
        <v>5466</v>
      </c>
      <c r="O159">
        <v>759.16666666666674</v>
      </c>
      <c r="P159">
        <v>11567.782222222222</v>
      </c>
      <c r="Q159">
        <v>503.94</v>
      </c>
      <c r="R159">
        <v>3653.26</v>
      </c>
      <c r="S159">
        <v>15221.042222222222</v>
      </c>
      <c r="T159">
        <v>0</v>
      </c>
      <c r="U159">
        <v>28862</v>
      </c>
      <c r="V159">
        <v>2648.9577777777704</v>
      </c>
      <c r="W159" s="31" t="str">
        <f>VLOOKUP(vehicle_data[[#This Row],[Vehicle]],upfront[],6,FALSE)</f>
        <v>Grand Rapids</v>
      </c>
    </row>
    <row r="160" spans="1:24" x14ac:dyDescent="0.45">
      <c r="A160" t="s">
        <v>117</v>
      </c>
      <c r="B160">
        <v>1</v>
      </c>
      <c r="C160">
        <v>39002.400000000001</v>
      </c>
      <c r="D160">
        <v>53416</v>
      </c>
      <c r="E160">
        <v>0.12965403624382207</v>
      </c>
      <c r="F160">
        <v>3.0421596525385654E-2</v>
      </c>
      <c r="G160">
        <v>0.13444444444444445</v>
      </c>
      <c r="H160">
        <v>0.29452007721365214</v>
      </c>
      <c r="I160">
        <v>30195.915555555555</v>
      </c>
      <c r="J160">
        <v>41740</v>
      </c>
      <c r="K160">
        <v>42104</v>
      </c>
      <c r="L160">
        <v>0</v>
      </c>
      <c r="M160">
        <v>53416</v>
      </c>
      <c r="N160">
        <v>53416</v>
      </c>
      <c r="O160">
        <v>7181.4844444444443</v>
      </c>
      <c r="P160">
        <v>7181.4844444444443</v>
      </c>
      <c r="Q160">
        <v>1625</v>
      </c>
      <c r="R160">
        <v>1625</v>
      </c>
      <c r="S160">
        <v>8806.4844444444443</v>
      </c>
      <c r="T160">
        <v>6925.6</v>
      </c>
      <c r="U160">
        <v>6925.6</v>
      </c>
      <c r="V160">
        <v>30195.915555555555</v>
      </c>
      <c r="W160" s="31" t="str">
        <f>VLOOKUP(vehicle_data[[#This Row],[Vehicle]],upfront[],6,FALSE)</f>
        <v>Grand Rapids</v>
      </c>
      <c r="X160">
        <v>4</v>
      </c>
    </row>
    <row r="161" spans="1:24" x14ac:dyDescent="0.45">
      <c r="A161" t="s">
        <v>117</v>
      </c>
      <c r="B161">
        <v>2</v>
      </c>
      <c r="C161">
        <v>32076.800000000003</v>
      </c>
      <c r="D161">
        <v>70849</v>
      </c>
      <c r="E161">
        <v>0.19550311225281938</v>
      </c>
      <c r="F161">
        <v>4.1990712642380273E-2</v>
      </c>
      <c r="G161">
        <v>0.139502313998002</v>
      </c>
      <c r="H161">
        <v>0.37699613889320166</v>
      </c>
      <c r="I161">
        <v>19218.200555555559</v>
      </c>
      <c r="J161">
        <v>42105</v>
      </c>
      <c r="K161">
        <v>42469</v>
      </c>
      <c r="L161">
        <v>53416</v>
      </c>
      <c r="M161">
        <v>70849</v>
      </c>
      <c r="N161">
        <v>17433</v>
      </c>
      <c r="O161">
        <v>2702.1150000000002</v>
      </c>
      <c r="P161">
        <v>9883.5994444444441</v>
      </c>
      <c r="Q161">
        <v>1350</v>
      </c>
      <c r="R161">
        <v>2975</v>
      </c>
      <c r="S161">
        <v>12858.599444444444</v>
      </c>
      <c r="T161">
        <v>6925.6</v>
      </c>
      <c r="U161">
        <v>13851.2</v>
      </c>
      <c r="V161">
        <v>19218.200555555559</v>
      </c>
      <c r="W161" s="31" t="str">
        <f>VLOOKUP(vehicle_data[[#This Row],[Vehicle]],upfront[],6,FALSE)</f>
        <v>Grand Rapids</v>
      </c>
    </row>
    <row r="162" spans="1:24" x14ac:dyDescent="0.45">
      <c r="A162" t="s">
        <v>117</v>
      </c>
      <c r="B162">
        <v>3</v>
      </c>
      <c r="C162">
        <v>25151.200000000004</v>
      </c>
      <c r="D162">
        <v>89823</v>
      </c>
      <c r="E162">
        <v>0.23130823953775762</v>
      </c>
      <c r="F162">
        <v>3.8019215568395624E-2</v>
      </c>
      <c r="G162">
        <v>0.14054627805053643</v>
      </c>
      <c r="H162">
        <v>0.40987373315668968</v>
      </c>
      <c r="I162">
        <v>9111.9116666666705</v>
      </c>
      <c r="J162">
        <v>42470</v>
      </c>
      <c r="K162">
        <v>42834</v>
      </c>
      <c r="L162">
        <v>70849</v>
      </c>
      <c r="M162">
        <v>89823</v>
      </c>
      <c r="N162">
        <v>18974</v>
      </c>
      <c r="O162">
        <v>2740.6888888888889</v>
      </c>
      <c r="P162">
        <v>12624.288333333334</v>
      </c>
      <c r="Q162">
        <v>440</v>
      </c>
      <c r="R162">
        <v>3415</v>
      </c>
      <c r="S162">
        <v>16039.288333333334</v>
      </c>
      <c r="T162">
        <v>6925.6</v>
      </c>
      <c r="U162">
        <v>20776.800000000003</v>
      </c>
      <c r="V162">
        <v>9111.9116666666705</v>
      </c>
      <c r="W162" s="31" t="str">
        <f>VLOOKUP(vehicle_data[[#This Row],[Vehicle]],upfront[],6,FALSE)</f>
        <v>Grand Rapids</v>
      </c>
    </row>
    <row r="163" spans="1:24" x14ac:dyDescent="0.45">
      <c r="A163" t="s">
        <v>117</v>
      </c>
      <c r="B163">
        <v>4</v>
      </c>
      <c r="C163">
        <v>18225.600000000006</v>
      </c>
      <c r="D163">
        <v>111972</v>
      </c>
      <c r="E163">
        <v>0.24740470831993713</v>
      </c>
      <c r="F163">
        <v>6.3216697031400704E-2</v>
      </c>
      <c r="G163">
        <v>0.13648205206063421</v>
      </c>
      <c r="H163">
        <v>0.44710345741197211</v>
      </c>
      <c r="I163">
        <v>-4135.0683333333291</v>
      </c>
      <c r="J163">
        <v>42835</v>
      </c>
      <c r="K163">
        <v>43199</v>
      </c>
      <c r="L163">
        <v>89823</v>
      </c>
      <c r="M163">
        <v>111972</v>
      </c>
      <c r="N163">
        <v>22149</v>
      </c>
      <c r="O163">
        <v>2657.88</v>
      </c>
      <c r="P163">
        <v>15282.168333333335</v>
      </c>
      <c r="Q163">
        <v>3663.5</v>
      </c>
      <c r="R163">
        <v>7078.5</v>
      </c>
      <c r="S163">
        <v>22360.668333333335</v>
      </c>
      <c r="T163">
        <v>6925.6</v>
      </c>
      <c r="U163">
        <v>27702.400000000001</v>
      </c>
      <c r="V163">
        <v>-4135.0683333333291</v>
      </c>
      <c r="W163" s="31" t="str">
        <f>VLOOKUP(vehicle_data[[#This Row],[Vehicle]],upfront[],6,FALSE)</f>
        <v>Grand Rapids</v>
      </c>
    </row>
    <row r="164" spans="1:24" x14ac:dyDescent="0.45">
      <c r="A164" t="s">
        <v>117</v>
      </c>
      <c r="B164">
        <v>5</v>
      </c>
      <c r="C164">
        <v>11300.000000000005</v>
      </c>
      <c r="D164">
        <v>137976</v>
      </c>
      <c r="E164">
        <v>0.25097118339421348</v>
      </c>
      <c r="F164">
        <v>5.284194352641039E-2</v>
      </c>
      <c r="G164">
        <v>0.13693566272395202</v>
      </c>
      <c r="H164">
        <v>0.44074878964457592</v>
      </c>
      <c r="I164">
        <v>-14884.754999999999</v>
      </c>
      <c r="J164">
        <v>43200</v>
      </c>
      <c r="K164">
        <v>43564</v>
      </c>
      <c r="L164">
        <v>111972</v>
      </c>
      <c r="M164">
        <v>137976</v>
      </c>
      <c r="N164">
        <v>26004</v>
      </c>
      <c r="O164">
        <v>3611.666666666667</v>
      </c>
      <c r="P164">
        <v>18893.835000000003</v>
      </c>
      <c r="Q164">
        <v>212.42000000000002</v>
      </c>
      <c r="R164">
        <v>7290.92</v>
      </c>
      <c r="S164">
        <v>26184.755000000005</v>
      </c>
      <c r="T164">
        <v>6925.6</v>
      </c>
      <c r="U164">
        <v>34628</v>
      </c>
      <c r="V164">
        <v>-14884.754999999999</v>
      </c>
      <c r="W164" s="31" t="str">
        <f>VLOOKUP(vehicle_data[[#This Row],[Vehicle]],upfront[],6,FALSE)</f>
        <v>Grand Rapids</v>
      </c>
    </row>
    <row r="165" spans="1:24" x14ac:dyDescent="0.45">
      <c r="A165" t="s">
        <v>117</v>
      </c>
      <c r="B165">
        <v>6</v>
      </c>
      <c r="C165">
        <v>11300.000000000005</v>
      </c>
      <c r="D165">
        <v>155263</v>
      </c>
      <c r="E165">
        <v>0.22302802341832889</v>
      </c>
      <c r="F165">
        <v>5.311059299382339E-2</v>
      </c>
      <c r="G165">
        <v>0.13715313514631447</v>
      </c>
      <c r="H165">
        <v>0.41329175155846676</v>
      </c>
      <c r="I165">
        <v>-18240.917222222219</v>
      </c>
      <c r="J165">
        <v>43565</v>
      </c>
      <c r="K165">
        <v>43929</v>
      </c>
      <c r="L165">
        <v>137976</v>
      </c>
      <c r="M165">
        <v>155263</v>
      </c>
      <c r="N165">
        <v>17287</v>
      </c>
      <c r="O165">
        <v>2400.9722222222222</v>
      </c>
      <c r="P165">
        <v>21294.807222222225</v>
      </c>
      <c r="Q165">
        <v>955.19</v>
      </c>
      <c r="R165">
        <v>8246.11</v>
      </c>
      <c r="S165">
        <v>29540.917222222226</v>
      </c>
      <c r="T165">
        <v>0</v>
      </c>
      <c r="U165">
        <v>34628</v>
      </c>
      <c r="V165">
        <v>-18240.917222222219</v>
      </c>
      <c r="W165" s="31" t="str">
        <f>VLOOKUP(vehicle_data[[#This Row],[Vehicle]],upfront[],6,FALSE)</f>
        <v>Grand Rapids</v>
      </c>
    </row>
    <row r="166" spans="1:24" x14ac:dyDescent="0.45">
      <c r="A166" t="s">
        <v>118</v>
      </c>
      <c r="B166">
        <v>1</v>
      </c>
      <c r="C166">
        <v>39262.400000000001</v>
      </c>
      <c r="D166">
        <v>38447</v>
      </c>
      <c r="E166">
        <v>0.17337113428876116</v>
      </c>
      <c r="F166">
        <v>3.2512289645485991E-2</v>
      </c>
      <c r="G166">
        <v>0.155</v>
      </c>
      <c r="H166">
        <v>0.36088342393424716</v>
      </c>
      <c r="I166">
        <v>32053.115000000002</v>
      </c>
      <c r="J166">
        <v>42005</v>
      </c>
      <c r="K166">
        <v>42369</v>
      </c>
      <c r="L166">
        <v>0</v>
      </c>
      <c r="M166">
        <v>38447</v>
      </c>
      <c r="N166">
        <v>38447</v>
      </c>
      <c r="O166">
        <v>5959.2849999999999</v>
      </c>
      <c r="P166">
        <v>5959.2849999999999</v>
      </c>
      <c r="Q166">
        <v>1250</v>
      </c>
      <c r="R166">
        <v>1250</v>
      </c>
      <c r="S166">
        <v>7209.2849999999999</v>
      </c>
      <c r="T166">
        <v>6665.6</v>
      </c>
      <c r="U166">
        <v>6665.6</v>
      </c>
      <c r="V166">
        <v>32053.115000000002</v>
      </c>
      <c r="W166" s="31" t="str">
        <f>VLOOKUP(vehicle_data[[#This Row],[Vehicle]],upfront[],6,FALSE)</f>
        <v>Grand Rapids</v>
      </c>
      <c r="X166">
        <v>4</v>
      </c>
    </row>
    <row r="167" spans="1:24" x14ac:dyDescent="0.45">
      <c r="A167" t="s">
        <v>118</v>
      </c>
      <c r="B167">
        <v>2</v>
      </c>
      <c r="C167">
        <v>32596.800000000003</v>
      </c>
      <c r="D167">
        <v>68313</v>
      </c>
      <c r="E167">
        <v>0.19514880037474566</v>
      </c>
      <c r="F167">
        <v>2.3787566056241126E-2</v>
      </c>
      <c r="G167">
        <v>0.15038517965508436</v>
      </c>
      <c r="H167">
        <v>0.36932154608607115</v>
      </c>
      <c r="I167">
        <v>20698.537222222225</v>
      </c>
      <c r="J167">
        <v>42370</v>
      </c>
      <c r="K167">
        <v>42734</v>
      </c>
      <c r="L167">
        <v>38447</v>
      </c>
      <c r="M167">
        <v>68313</v>
      </c>
      <c r="N167">
        <v>29866</v>
      </c>
      <c r="O167">
        <v>4313.9777777777781</v>
      </c>
      <c r="P167">
        <v>10273.262777777778</v>
      </c>
      <c r="Q167">
        <v>375</v>
      </c>
      <c r="R167">
        <v>1625</v>
      </c>
      <c r="S167">
        <v>11898.262777777778</v>
      </c>
      <c r="T167">
        <v>6665.6</v>
      </c>
      <c r="U167">
        <v>13331.2</v>
      </c>
      <c r="V167">
        <v>20698.537222222225</v>
      </c>
      <c r="W167" s="31" t="str">
        <f>VLOOKUP(vehicle_data[[#This Row],[Vehicle]],upfront[],6,FALSE)</f>
        <v>Grand Rapids</v>
      </c>
    </row>
    <row r="168" spans="1:24" x14ac:dyDescent="0.45">
      <c r="A168" t="s">
        <v>118</v>
      </c>
      <c r="B168">
        <v>3</v>
      </c>
      <c r="C168">
        <v>25931.200000000004</v>
      </c>
      <c r="D168">
        <v>87638</v>
      </c>
      <c r="E168">
        <v>0.22817499258312607</v>
      </c>
      <c r="F168">
        <v>2.0687030740089915E-2</v>
      </c>
      <c r="G168">
        <v>0.14907519188784166</v>
      </c>
      <c r="H168">
        <v>0.39793721521105763</v>
      </c>
      <c r="I168">
        <v>11053.578333333338</v>
      </c>
      <c r="J168">
        <v>42735</v>
      </c>
      <c r="K168">
        <v>43099</v>
      </c>
      <c r="L168">
        <v>68313</v>
      </c>
      <c r="M168">
        <v>87638</v>
      </c>
      <c r="N168">
        <v>19325</v>
      </c>
      <c r="O168">
        <v>2791.3888888888891</v>
      </c>
      <c r="P168">
        <v>13064.651666666667</v>
      </c>
      <c r="Q168">
        <v>187.97</v>
      </c>
      <c r="R168">
        <v>1812.97</v>
      </c>
      <c r="S168">
        <v>14877.621666666666</v>
      </c>
      <c r="T168">
        <v>6665.6</v>
      </c>
      <c r="U168">
        <v>19996.800000000003</v>
      </c>
      <c r="V168">
        <v>11053.578333333338</v>
      </c>
      <c r="W168" s="31" t="str">
        <f>VLOOKUP(vehicle_data[[#This Row],[Vehicle]],upfront[],6,FALSE)</f>
        <v>Grand Rapids</v>
      </c>
    </row>
    <row r="169" spans="1:24" x14ac:dyDescent="0.45">
      <c r="A169" t="s">
        <v>118</v>
      </c>
      <c r="B169">
        <v>4</v>
      </c>
      <c r="C169">
        <v>19265.600000000006</v>
      </c>
      <c r="D169">
        <v>120523</v>
      </c>
      <c r="E169">
        <v>0.22122250524796097</v>
      </c>
      <c r="F169">
        <v>5.012727861072161E-2</v>
      </c>
      <c r="G169">
        <v>0.14114195354137107</v>
      </c>
      <c r="H169">
        <v>0.41249173740005363</v>
      </c>
      <c r="I169">
        <v>-3786.7416666666613</v>
      </c>
      <c r="J169">
        <v>43100</v>
      </c>
      <c r="K169">
        <v>43464</v>
      </c>
      <c r="L169">
        <v>87638</v>
      </c>
      <c r="M169">
        <v>120523</v>
      </c>
      <c r="N169">
        <v>32885</v>
      </c>
      <c r="O169">
        <v>3946.2</v>
      </c>
      <c r="P169">
        <v>17010.851666666666</v>
      </c>
      <c r="Q169">
        <v>4228.5200000000004</v>
      </c>
      <c r="R169">
        <v>6041.4900000000007</v>
      </c>
      <c r="S169">
        <v>23052.341666666667</v>
      </c>
      <c r="T169">
        <v>6665.6</v>
      </c>
      <c r="U169">
        <v>26662.400000000001</v>
      </c>
      <c r="V169">
        <v>-3786.7416666666613</v>
      </c>
      <c r="W169" s="31" t="str">
        <f>VLOOKUP(vehicle_data[[#This Row],[Vehicle]],upfront[],6,FALSE)</f>
        <v>Grand Rapids</v>
      </c>
    </row>
    <row r="170" spans="1:24" x14ac:dyDescent="0.45">
      <c r="A170" t="s">
        <v>118</v>
      </c>
      <c r="B170">
        <v>5</v>
      </c>
      <c r="C170">
        <v>12600.000000000005</v>
      </c>
      <c r="D170">
        <v>146021</v>
      </c>
      <c r="E170">
        <v>0.2282411433971826</v>
      </c>
      <c r="F170">
        <v>6.5922367330726414E-2</v>
      </c>
      <c r="G170">
        <v>0.14074852627742282</v>
      </c>
      <c r="H170">
        <v>0.43491203700533188</v>
      </c>
      <c r="I170">
        <v>-17578.290555555548</v>
      </c>
      <c r="J170">
        <v>43465</v>
      </c>
      <c r="K170">
        <v>43829</v>
      </c>
      <c r="L170">
        <v>120523</v>
      </c>
      <c r="M170">
        <v>146021</v>
      </c>
      <c r="N170">
        <v>25498</v>
      </c>
      <c r="O170">
        <v>3541.3888888888891</v>
      </c>
      <c r="P170">
        <v>20552.240555555556</v>
      </c>
      <c r="Q170">
        <v>3584.5600000000004</v>
      </c>
      <c r="R170">
        <v>9626.0500000000011</v>
      </c>
      <c r="S170">
        <v>30178.290555555555</v>
      </c>
      <c r="T170">
        <v>6665.6</v>
      </c>
      <c r="U170">
        <v>33328</v>
      </c>
      <c r="V170">
        <v>-17578.290555555548</v>
      </c>
      <c r="W170" s="31" t="str">
        <f>VLOOKUP(vehicle_data[[#This Row],[Vehicle]],upfront[],6,FALSE)</f>
        <v>Grand Rapids</v>
      </c>
    </row>
    <row r="171" spans="1:24" x14ac:dyDescent="0.45">
      <c r="A171" t="s">
        <v>119</v>
      </c>
      <c r="B171">
        <v>1</v>
      </c>
      <c r="C171">
        <v>38842.400000000001</v>
      </c>
      <c r="D171">
        <v>68637</v>
      </c>
      <c r="E171">
        <v>0.10323295015807801</v>
      </c>
      <c r="F171">
        <v>2.5132217317190435E-2</v>
      </c>
      <c r="G171">
        <v>0.155</v>
      </c>
      <c r="H171">
        <v>0.28336516747526841</v>
      </c>
      <c r="I171">
        <v>26478.665000000001</v>
      </c>
      <c r="J171">
        <v>42005</v>
      </c>
      <c r="K171">
        <v>42369</v>
      </c>
      <c r="L171">
        <v>0</v>
      </c>
      <c r="M171">
        <v>68637</v>
      </c>
      <c r="N171">
        <v>68637</v>
      </c>
      <c r="O171">
        <v>10638.735000000001</v>
      </c>
      <c r="P171">
        <v>10638.735000000001</v>
      </c>
      <c r="Q171">
        <v>1725</v>
      </c>
      <c r="R171">
        <v>1725</v>
      </c>
      <c r="S171">
        <v>12363.735000000001</v>
      </c>
      <c r="T171">
        <v>7085.6</v>
      </c>
      <c r="U171">
        <v>7085.6</v>
      </c>
      <c r="V171">
        <v>26478.665000000001</v>
      </c>
      <c r="W171" s="31" t="str">
        <f>VLOOKUP(vehicle_data[[#This Row],[Vehicle]],upfront[],6,FALSE)</f>
        <v>Grand Rapids</v>
      </c>
      <c r="X171">
        <v>4</v>
      </c>
    </row>
    <row r="172" spans="1:24" x14ac:dyDescent="0.45">
      <c r="A172" t="s">
        <v>119</v>
      </c>
      <c r="B172">
        <v>2</v>
      </c>
      <c r="C172">
        <v>31756.800000000003</v>
      </c>
      <c r="D172">
        <v>85385</v>
      </c>
      <c r="E172">
        <v>0.16596826140422791</v>
      </c>
      <c r="F172">
        <v>2.6644024126017449E-2</v>
      </c>
      <c r="G172">
        <v>0.15292956087785389</v>
      </c>
      <c r="H172">
        <v>0.34554184640809926</v>
      </c>
      <c r="I172">
        <v>16423.909444444449</v>
      </c>
      <c r="J172">
        <v>42370</v>
      </c>
      <c r="K172">
        <v>42734</v>
      </c>
      <c r="L172">
        <v>68637</v>
      </c>
      <c r="M172">
        <v>85385</v>
      </c>
      <c r="N172">
        <v>16748</v>
      </c>
      <c r="O172">
        <v>2419.1555555555556</v>
      </c>
      <c r="P172">
        <v>13057.890555555556</v>
      </c>
      <c r="Q172">
        <v>550</v>
      </c>
      <c r="R172">
        <v>2275</v>
      </c>
      <c r="S172">
        <v>15332.890555555556</v>
      </c>
      <c r="T172">
        <v>7085.6</v>
      </c>
      <c r="U172">
        <v>14171.2</v>
      </c>
      <c r="V172">
        <v>16423.909444444449</v>
      </c>
      <c r="W172" s="31" t="str">
        <f>VLOOKUP(vehicle_data[[#This Row],[Vehicle]],upfront[],6,FALSE)</f>
        <v>Grand Rapids</v>
      </c>
    </row>
    <row r="173" spans="1:24" x14ac:dyDescent="0.45">
      <c r="A173" t="s">
        <v>119</v>
      </c>
      <c r="B173">
        <v>3</v>
      </c>
      <c r="C173">
        <v>24671.200000000004</v>
      </c>
      <c r="D173">
        <v>115877</v>
      </c>
      <c r="E173">
        <v>0.18344278847398537</v>
      </c>
      <c r="F173">
        <v>2.1259352589383568E-2</v>
      </c>
      <c r="G173">
        <v>0.15069677809708187</v>
      </c>
      <c r="H173">
        <v>0.35539891916045085</v>
      </c>
      <c r="I173">
        <v>4745.4394444444479</v>
      </c>
      <c r="J173">
        <v>42735</v>
      </c>
      <c r="K173">
        <v>43099</v>
      </c>
      <c r="L173">
        <v>85385</v>
      </c>
      <c r="M173">
        <v>115877</v>
      </c>
      <c r="N173">
        <v>30492</v>
      </c>
      <c r="O173">
        <v>4404.4000000000005</v>
      </c>
      <c r="P173">
        <v>17462.290555555555</v>
      </c>
      <c r="Q173">
        <v>188.47</v>
      </c>
      <c r="R173">
        <v>2463.4699999999998</v>
      </c>
      <c r="S173">
        <v>19925.760555555556</v>
      </c>
      <c r="T173">
        <v>7085.6</v>
      </c>
      <c r="U173">
        <v>21256.800000000003</v>
      </c>
      <c r="V173">
        <v>4745.4394444444479</v>
      </c>
      <c r="W173" s="31" t="str">
        <f>VLOOKUP(vehicle_data[[#This Row],[Vehicle]],upfront[],6,FALSE)</f>
        <v>Grand Rapids</v>
      </c>
    </row>
    <row r="174" spans="1:24" x14ac:dyDescent="0.45">
      <c r="A174" t="s">
        <v>119</v>
      </c>
      <c r="B174">
        <v>4</v>
      </c>
      <c r="C174">
        <v>17585.600000000006</v>
      </c>
      <c r="D174">
        <v>138669</v>
      </c>
      <c r="E174">
        <v>0.20438886845654042</v>
      </c>
      <c r="F174">
        <v>2.9073549243161773E-2</v>
      </c>
      <c r="G174">
        <v>0.14565137525730737</v>
      </c>
      <c r="H174">
        <v>0.37911379295700953</v>
      </c>
      <c r="I174">
        <v>-6643.3305555555489</v>
      </c>
      <c r="J174">
        <v>43100</v>
      </c>
      <c r="K174">
        <v>43464</v>
      </c>
      <c r="L174">
        <v>115877</v>
      </c>
      <c r="M174">
        <v>138669</v>
      </c>
      <c r="N174">
        <v>22792</v>
      </c>
      <c r="O174">
        <v>2735.04</v>
      </c>
      <c r="P174">
        <v>20197.330555555556</v>
      </c>
      <c r="Q174">
        <v>1568.13</v>
      </c>
      <c r="R174">
        <v>4031.6</v>
      </c>
      <c r="S174">
        <v>24228.930555555555</v>
      </c>
      <c r="T174">
        <v>7085.6</v>
      </c>
      <c r="U174">
        <v>28342.400000000001</v>
      </c>
      <c r="V174">
        <v>-6643.3305555555489</v>
      </c>
      <c r="W174" s="31" t="str">
        <f>VLOOKUP(vehicle_data[[#This Row],[Vehicle]],upfront[],6,FALSE)</f>
        <v>Grand Rapids</v>
      </c>
    </row>
    <row r="175" spans="1:24" x14ac:dyDescent="0.45">
      <c r="A175" t="s">
        <v>119</v>
      </c>
      <c r="B175">
        <v>5</v>
      </c>
      <c r="C175">
        <v>10500.000000000005</v>
      </c>
      <c r="D175">
        <v>153020</v>
      </c>
      <c r="E175">
        <v>0.2315252908116586</v>
      </c>
      <c r="F175">
        <v>3.6716834400731931E-2</v>
      </c>
      <c r="G175">
        <v>0.14501715462031109</v>
      </c>
      <c r="H175">
        <v>0.41325927983270161</v>
      </c>
      <c r="I175">
        <v>-17308.934999999998</v>
      </c>
      <c r="J175">
        <v>43465</v>
      </c>
      <c r="K175">
        <v>43829</v>
      </c>
      <c r="L175">
        <v>138669</v>
      </c>
      <c r="M175">
        <v>153020</v>
      </c>
      <c r="N175">
        <v>14351</v>
      </c>
      <c r="O175">
        <v>1993.1944444444446</v>
      </c>
      <c r="P175">
        <v>22190.525000000001</v>
      </c>
      <c r="Q175">
        <v>1586.81</v>
      </c>
      <c r="R175">
        <v>5618.41</v>
      </c>
      <c r="S175">
        <v>27808.935000000001</v>
      </c>
      <c r="T175">
        <v>7085.6</v>
      </c>
      <c r="U175">
        <v>35428</v>
      </c>
      <c r="V175">
        <v>-17308.934999999998</v>
      </c>
      <c r="W175" s="31" t="str">
        <f>VLOOKUP(vehicle_data[[#This Row],[Vehicle]],upfront[],6,FALSE)</f>
        <v>Grand Rapids</v>
      </c>
    </row>
    <row r="176" spans="1:24" x14ac:dyDescent="0.45">
      <c r="A176" t="s">
        <v>119</v>
      </c>
      <c r="B176">
        <v>6</v>
      </c>
      <c r="C176">
        <v>10500.000000000005</v>
      </c>
      <c r="D176">
        <v>171875</v>
      </c>
      <c r="E176">
        <v>0.20612654545454545</v>
      </c>
      <c r="F176">
        <v>4.1488349090909087E-2</v>
      </c>
      <c r="G176">
        <v>0.14434487272727273</v>
      </c>
      <c r="H176">
        <v>0.3919597672727273</v>
      </c>
      <c r="I176">
        <v>-21440.084999999992</v>
      </c>
      <c r="J176">
        <v>43830</v>
      </c>
      <c r="K176">
        <v>44194</v>
      </c>
      <c r="L176">
        <v>153020</v>
      </c>
      <c r="M176">
        <v>171875</v>
      </c>
      <c r="N176">
        <v>18855</v>
      </c>
      <c r="O176">
        <v>2618.75</v>
      </c>
      <c r="P176">
        <v>24809.275000000001</v>
      </c>
      <c r="Q176">
        <v>1512.4</v>
      </c>
      <c r="R176">
        <v>7130.8099999999995</v>
      </c>
      <c r="S176">
        <v>31940.084999999999</v>
      </c>
      <c r="T176">
        <v>0</v>
      </c>
      <c r="U176">
        <v>35428</v>
      </c>
      <c r="V176">
        <v>-21440.084999999992</v>
      </c>
      <c r="W176" s="31" t="str">
        <f>VLOOKUP(vehicle_data[[#This Row],[Vehicle]],upfront[],6,FALSE)</f>
        <v>Grand Rapids</v>
      </c>
    </row>
    <row r="177" spans="1:24" x14ac:dyDescent="0.45">
      <c r="A177" t="s">
        <v>120</v>
      </c>
      <c r="B177">
        <v>1</v>
      </c>
      <c r="C177">
        <v>39645.599999999999</v>
      </c>
      <c r="D177">
        <v>59590</v>
      </c>
      <c r="E177">
        <v>0.11891928175868434</v>
      </c>
      <c r="F177">
        <v>1.7200872629635846E-2</v>
      </c>
      <c r="G177">
        <v>0.155</v>
      </c>
      <c r="H177">
        <v>0.29112015438832017</v>
      </c>
      <c r="I177">
        <v>29384.149999999998</v>
      </c>
      <c r="J177">
        <v>42005</v>
      </c>
      <c r="K177">
        <v>42369</v>
      </c>
      <c r="L177">
        <v>0</v>
      </c>
      <c r="M177">
        <v>59590</v>
      </c>
      <c r="N177">
        <v>59590</v>
      </c>
      <c r="O177">
        <v>9236.4500000000007</v>
      </c>
      <c r="P177">
        <v>9236.4500000000007</v>
      </c>
      <c r="Q177">
        <v>1025</v>
      </c>
      <c r="R177">
        <v>1025</v>
      </c>
      <c r="S177">
        <v>10261.450000000001</v>
      </c>
      <c r="T177">
        <v>7086.4</v>
      </c>
      <c r="U177">
        <v>7086.4</v>
      </c>
      <c r="V177">
        <v>29384.149999999998</v>
      </c>
      <c r="W177" s="31" t="str">
        <f>VLOOKUP(vehicle_data[[#This Row],[Vehicle]],upfront[],6,FALSE)</f>
        <v>Grand Rapids</v>
      </c>
      <c r="X177">
        <v>4</v>
      </c>
    </row>
    <row r="178" spans="1:24" x14ac:dyDescent="0.45">
      <c r="A178" t="s">
        <v>120</v>
      </c>
      <c r="B178">
        <v>2</v>
      </c>
      <c r="C178">
        <v>32559.199999999997</v>
      </c>
      <c r="D178">
        <v>90433</v>
      </c>
      <c r="E178">
        <v>0.15672155076133712</v>
      </c>
      <c r="F178">
        <v>2.1894662346709719E-2</v>
      </c>
      <c r="G178">
        <v>0.15139993144095629</v>
      </c>
      <c r="H178">
        <v>0.33001614454900313</v>
      </c>
      <c r="I178">
        <v>16887.649999999994</v>
      </c>
      <c r="J178">
        <v>42370</v>
      </c>
      <c r="K178">
        <v>42734</v>
      </c>
      <c r="L178">
        <v>59590</v>
      </c>
      <c r="M178">
        <v>90433</v>
      </c>
      <c r="N178">
        <v>30843</v>
      </c>
      <c r="O178">
        <v>4455.1000000000004</v>
      </c>
      <c r="P178">
        <v>13691.550000000001</v>
      </c>
      <c r="Q178">
        <v>955</v>
      </c>
      <c r="R178">
        <v>1980</v>
      </c>
      <c r="S178">
        <v>15671.550000000001</v>
      </c>
      <c r="T178">
        <v>7086.4</v>
      </c>
      <c r="U178">
        <v>14172.8</v>
      </c>
      <c r="V178">
        <v>16887.649999999994</v>
      </c>
      <c r="W178" s="31" t="str">
        <f>VLOOKUP(vehicle_data[[#This Row],[Vehicle]],upfront[],6,FALSE)</f>
        <v>Grand Rapids</v>
      </c>
    </row>
    <row r="179" spans="1:24" x14ac:dyDescent="0.45">
      <c r="A179" t="s">
        <v>120</v>
      </c>
      <c r="B179">
        <v>3</v>
      </c>
      <c r="C179">
        <v>25472.799999999996</v>
      </c>
      <c r="D179">
        <v>105067</v>
      </c>
      <c r="E179">
        <v>0.20233945958293276</v>
      </c>
      <c r="F179">
        <v>1.8845117877164096E-2</v>
      </c>
      <c r="G179">
        <v>0.15043115345446242</v>
      </c>
      <c r="H179">
        <v>0.37161573091455924</v>
      </c>
      <c r="I179">
        <v>7687.4499999999935</v>
      </c>
      <c r="J179">
        <v>42735</v>
      </c>
      <c r="K179">
        <v>43099</v>
      </c>
      <c r="L179">
        <v>90433</v>
      </c>
      <c r="M179">
        <v>105067</v>
      </c>
      <c r="N179">
        <v>14634</v>
      </c>
      <c r="O179">
        <v>2113.8000000000002</v>
      </c>
      <c r="P179">
        <v>15805.350000000002</v>
      </c>
      <c r="Q179">
        <v>0</v>
      </c>
      <c r="R179">
        <v>1980</v>
      </c>
      <c r="S179">
        <v>17785.350000000002</v>
      </c>
      <c r="T179">
        <v>7086.4</v>
      </c>
      <c r="U179">
        <v>21259.199999999997</v>
      </c>
      <c r="V179">
        <v>7687.4499999999935</v>
      </c>
      <c r="W179" s="31" t="str">
        <f>VLOOKUP(vehicle_data[[#This Row],[Vehicle]],upfront[],6,FALSE)</f>
        <v>Grand Rapids</v>
      </c>
    </row>
    <row r="180" spans="1:24" x14ac:dyDescent="0.45">
      <c r="A180" t="s">
        <v>120</v>
      </c>
      <c r="B180">
        <v>4</v>
      </c>
      <c r="C180">
        <v>18386.399999999994</v>
      </c>
      <c r="D180">
        <v>132492</v>
      </c>
      <c r="E180">
        <v>0.2139419738550252</v>
      </c>
      <c r="F180">
        <v>4.938932161941853E-2</v>
      </c>
      <c r="G180">
        <v>0.14413209854179876</v>
      </c>
      <c r="H180">
        <v>0.40746339401624249</v>
      </c>
      <c r="I180">
        <v>-7253.6400000000067</v>
      </c>
      <c r="J180">
        <v>43100</v>
      </c>
      <c r="K180">
        <v>43464</v>
      </c>
      <c r="L180">
        <v>105067</v>
      </c>
      <c r="M180">
        <v>132492</v>
      </c>
      <c r="N180">
        <v>27425</v>
      </c>
      <c r="O180">
        <v>3291</v>
      </c>
      <c r="P180">
        <v>19096.350000000002</v>
      </c>
      <c r="Q180">
        <v>4563.6899999999996</v>
      </c>
      <c r="R180">
        <v>6543.69</v>
      </c>
      <c r="S180">
        <v>25640.04</v>
      </c>
      <c r="T180">
        <v>7086.4</v>
      </c>
      <c r="U180">
        <v>28345.599999999999</v>
      </c>
      <c r="V180">
        <v>-7253.6400000000067</v>
      </c>
      <c r="W180" s="31" t="str">
        <f>VLOOKUP(vehicle_data[[#This Row],[Vehicle]],upfront[],6,FALSE)</f>
        <v>Grand Rapids</v>
      </c>
    </row>
    <row r="181" spans="1:24" x14ac:dyDescent="0.45">
      <c r="A181" t="s">
        <v>120</v>
      </c>
      <c r="B181">
        <v>5</v>
      </c>
      <c r="C181">
        <v>11299.999999999995</v>
      </c>
      <c r="D181">
        <v>147907</v>
      </c>
      <c r="E181">
        <v>0.23955593717673943</v>
      </c>
      <c r="F181">
        <v>4.7610525532936231E-2</v>
      </c>
      <c r="G181">
        <v>0.14358564653614925</v>
      </c>
      <c r="H181">
        <v>0.43075210924582491</v>
      </c>
      <c r="I181">
        <v>-16979.252222222232</v>
      </c>
      <c r="J181">
        <v>43465</v>
      </c>
      <c r="K181">
        <v>43829</v>
      </c>
      <c r="L181">
        <v>132492</v>
      </c>
      <c r="M181">
        <v>147907</v>
      </c>
      <c r="N181">
        <v>15415</v>
      </c>
      <c r="O181">
        <v>2140.9722222222222</v>
      </c>
      <c r="P181">
        <v>21237.322222222225</v>
      </c>
      <c r="Q181">
        <v>498.24</v>
      </c>
      <c r="R181">
        <v>7041.9299999999994</v>
      </c>
      <c r="S181">
        <v>28279.252222222225</v>
      </c>
      <c r="T181">
        <v>7086.4</v>
      </c>
      <c r="U181">
        <v>35432</v>
      </c>
      <c r="V181">
        <v>-16979.252222222232</v>
      </c>
      <c r="W181" s="31" t="str">
        <f>VLOOKUP(vehicle_data[[#This Row],[Vehicle]],upfront[],6,FALSE)</f>
        <v>Grand Rapids</v>
      </c>
    </row>
    <row r="182" spans="1:24" x14ac:dyDescent="0.45">
      <c r="A182" t="s">
        <v>120</v>
      </c>
      <c r="B182">
        <v>6</v>
      </c>
      <c r="C182">
        <v>11299.999999999995</v>
      </c>
      <c r="D182">
        <v>170892</v>
      </c>
      <c r="E182">
        <v>0.20733562717973925</v>
      </c>
      <c r="F182">
        <v>4.3551307258385415E-2</v>
      </c>
      <c r="G182">
        <v>0.1429539319180145</v>
      </c>
      <c r="H182">
        <v>0.39384086635613913</v>
      </c>
      <c r="I182">
        <v>-20572.253333333341</v>
      </c>
      <c r="J182">
        <v>43830</v>
      </c>
      <c r="K182">
        <v>44194</v>
      </c>
      <c r="L182">
        <v>147907</v>
      </c>
      <c r="M182">
        <v>170892</v>
      </c>
      <c r="N182">
        <v>22985</v>
      </c>
      <c r="O182">
        <v>3192.3611111111109</v>
      </c>
      <c r="P182">
        <v>24429.683333333334</v>
      </c>
      <c r="Q182">
        <v>400.64</v>
      </c>
      <c r="R182">
        <v>7442.57</v>
      </c>
      <c r="S182">
        <v>31872.253333333334</v>
      </c>
      <c r="T182">
        <v>0</v>
      </c>
      <c r="U182">
        <v>35432</v>
      </c>
      <c r="V182">
        <v>-20572.253333333341</v>
      </c>
      <c r="W182" s="31" t="str">
        <f>VLOOKUP(vehicle_data[[#This Row],[Vehicle]],upfront[],6,FALSE)</f>
        <v>Grand Rapids</v>
      </c>
    </row>
    <row r="183" spans="1:24" x14ac:dyDescent="0.45">
      <c r="A183" t="s">
        <v>121</v>
      </c>
      <c r="B183">
        <v>1</v>
      </c>
      <c r="C183">
        <v>44662</v>
      </c>
      <c r="D183">
        <v>42359</v>
      </c>
      <c r="E183">
        <v>0.1969593238745013</v>
      </c>
      <c r="F183">
        <v>6.7282041596827121E-3</v>
      </c>
      <c r="G183">
        <v>0.24</v>
      </c>
      <c r="H183">
        <v>0.44368752803418399</v>
      </c>
      <c r="I183">
        <v>34210.839999999997</v>
      </c>
      <c r="J183">
        <v>40851</v>
      </c>
      <c r="K183">
        <v>41215</v>
      </c>
      <c r="L183">
        <v>0</v>
      </c>
      <c r="M183">
        <v>42359</v>
      </c>
      <c r="N183">
        <v>42359</v>
      </c>
      <c r="O183">
        <v>10166.16</v>
      </c>
      <c r="P183">
        <v>10166.16</v>
      </c>
      <c r="Q183">
        <v>285</v>
      </c>
      <c r="R183">
        <v>285</v>
      </c>
      <c r="S183">
        <v>10451.16</v>
      </c>
      <c r="T183">
        <v>8343</v>
      </c>
      <c r="U183">
        <v>8343</v>
      </c>
      <c r="V183">
        <v>34210.839999999997</v>
      </c>
      <c r="W183" s="31" t="str">
        <f>VLOOKUP(vehicle_data[[#This Row],[Vehicle]],upfront[],6,FALSE)</f>
        <v>Grand Rapids</v>
      </c>
      <c r="X183">
        <v>4</v>
      </c>
    </row>
    <row r="184" spans="1:24" x14ac:dyDescent="0.45">
      <c r="A184" t="s">
        <v>121</v>
      </c>
      <c r="B184">
        <v>2</v>
      </c>
      <c r="C184">
        <v>36319</v>
      </c>
      <c r="D184">
        <v>78947</v>
      </c>
      <c r="E184">
        <v>0.21135698633260289</v>
      </c>
      <c r="F184">
        <v>6.9033655490392289E-3</v>
      </c>
      <c r="G184">
        <v>0.20921366775902098</v>
      </c>
      <c r="H184">
        <v>0.42747401964066312</v>
      </c>
      <c r="I184">
        <v>19257.208571428571</v>
      </c>
      <c r="J184">
        <v>41216</v>
      </c>
      <c r="K184">
        <v>41580</v>
      </c>
      <c r="L184">
        <v>42359</v>
      </c>
      <c r="M184">
        <v>78947</v>
      </c>
      <c r="N184">
        <v>36588</v>
      </c>
      <c r="O184">
        <v>6350.6314285714298</v>
      </c>
      <c r="P184">
        <v>16516.791428571429</v>
      </c>
      <c r="Q184">
        <v>260</v>
      </c>
      <c r="R184">
        <v>545</v>
      </c>
      <c r="S184">
        <v>17061.791428571429</v>
      </c>
      <c r="T184">
        <v>8343</v>
      </c>
      <c r="U184">
        <v>16686</v>
      </c>
      <c r="V184">
        <v>19257.208571428571</v>
      </c>
      <c r="W184" s="31" t="str">
        <f>VLOOKUP(vehicle_data[[#This Row],[Vehicle]],upfront[],6,FALSE)</f>
        <v>Grand Rapids</v>
      </c>
    </row>
    <row r="185" spans="1:24" x14ac:dyDescent="0.45">
      <c r="A185" t="s">
        <v>121</v>
      </c>
      <c r="B185">
        <v>3</v>
      </c>
      <c r="C185">
        <v>27976</v>
      </c>
      <c r="D185">
        <v>107398</v>
      </c>
      <c r="E185">
        <v>0.23304903257043894</v>
      </c>
      <c r="F185">
        <v>7.1695934747388222E-3</v>
      </c>
      <c r="G185">
        <v>0.19428415799176893</v>
      </c>
      <c r="H185">
        <v>0.4345027840369467</v>
      </c>
      <c r="I185">
        <v>6340.27</v>
      </c>
      <c r="J185">
        <v>41581</v>
      </c>
      <c r="K185">
        <v>41945</v>
      </c>
      <c r="L185">
        <v>78947</v>
      </c>
      <c r="M185">
        <v>107398</v>
      </c>
      <c r="N185">
        <v>28451</v>
      </c>
      <c r="O185">
        <v>4348.9385714285718</v>
      </c>
      <c r="P185">
        <v>20865.73</v>
      </c>
      <c r="Q185">
        <v>225</v>
      </c>
      <c r="R185">
        <v>770</v>
      </c>
      <c r="S185">
        <v>21635.73</v>
      </c>
      <c r="T185">
        <v>8343</v>
      </c>
      <c r="U185">
        <v>25029</v>
      </c>
      <c r="V185">
        <v>6340.27</v>
      </c>
      <c r="W185" s="31" t="str">
        <f>VLOOKUP(vehicle_data[[#This Row],[Vehicle]],upfront[],6,FALSE)</f>
        <v>Grand Rapids</v>
      </c>
    </row>
    <row r="186" spans="1:24" x14ac:dyDescent="0.45">
      <c r="A186" t="s">
        <v>121</v>
      </c>
      <c r="B186">
        <v>4</v>
      </c>
      <c r="C186">
        <v>19633</v>
      </c>
      <c r="D186">
        <v>143958</v>
      </c>
      <c r="E186">
        <v>0.2318176134705956</v>
      </c>
      <c r="F186">
        <v>1.0794815154420039E-2</v>
      </c>
      <c r="G186">
        <v>0.18884248977380308</v>
      </c>
      <c r="H186">
        <v>0.43145491839881872</v>
      </c>
      <c r="I186">
        <v>-9106.3871428571438</v>
      </c>
      <c r="J186">
        <v>41946</v>
      </c>
      <c r="K186">
        <v>42310</v>
      </c>
      <c r="L186">
        <v>107398</v>
      </c>
      <c r="M186">
        <v>143958</v>
      </c>
      <c r="N186">
        <v>36560</v>
      </c>
      <c r="O186">
        <v>6319.6571428571433</v>
      </c>
      <c r="P186">
        <v>27185.387142857144</v>
      </c>
      <c r="Q186">
        <v>784</v>
      </c>
      <c r="R186">
        <v>1554</v>
      </c>
      <c r="S186">
        <v>28739.387142857144</v>
      </c>
      <c r="T186">
        <v>8343</v>
      </c>
      <c r="U186">
        <v>33372</v>
      </c>
      <c r="V186">
        <v>-9106.3871428571438</v>
      </c>
      <c r="W186" s="31" t="str">
        <f>VLOOKUP(vehicle_data[[#This Row],[Vehicle]],upfront[],6,FALSE)</f>
        <v>Grand Rapids</v>
      </c>
    </row>
    <row r="187" spans="1:24" x14ac:dyDescent="0.45">
      <c r="A187" t="s">
        <v>121</v>
      </c>
      <c r="B187">
        <v>5</v>
      </c>
      <c r="C187">
        <v>11290</v>
      </c>
      <c r="D187">
        <v>169673</v>
      </c>
      <c r="E187">
        <v>0.24585526277015199</v>
      </c>
      <c r="F187">
        <v>1.4522051239737613E-2</v>
      </c>
      <c r="G187">
        <v>0.1904252254967749</v>
      </c>
      <c r="H187">
        <v>0.45080253950666449</v>
      </c>
      <c r="I187">
        <v>-23484.019285714283</v>
      </c>
      <c r="J187">
        <v>42311</v>
      </c>
      <c r="K187">
        <v>42675</v>
      </c>
      <c r="L187">
        <v>143958</v>
      </c>
      <c r="M187">
        <v>169673</v>
      </c>
      <c r="N187">
        <v>25715</v>
      </c>
      <c r="O187">
        <v>5124.6321428571428</v>
      </c>
      <c r="P187">
        <v>32310.019285714287</v>
      </c>
      <c r="Q187">
        <v>910</v>
      </c>
      <c r="R187">
        <v>2464</v>
      </c>
      <c r="S187">
        <v>34774.019285714283</v>
      </c>
      <c r="T187">
        <v>8343</v>
      </c>
      <c r="U187">
        <v>41715</v>
      </c>
      <c r="V187">
        <v>-23484.019285714283</v>
      </c>
      <c r="W187" s="31" t="str">
        <f>VLOOKUP(vehicle_data[[#This Row],[Vehicle]],upfront[],6,FALSE)</f>
        <v>Grand Rapids</v>
      </c>
    </row>
    <row r="188" spans="1:24" x14ac:dyDescent="0.45">
      <c r="A188" t="s">
        <v>121</v>
      </c>
      <c r="B188">
        <v>6</v>
      </c>
      <c r="C188">
        <v>11290</v>
      </c>
      <c r="D188">
        <v>193316</v>
      </c>
      <c r="E188">
        <v>0.21578658776304083</v>
      </c>
      <c r="F188">
        <v>2.0584586893997392E-2</v>
      </c>
      <c r="G188">
        <v>0.18984906651729366</v>
      </c>
      <c r="H188">
        <v>0.42622024117433188</v>
      </c>
      <c r="I188">
        <v>-29390.192142857144</v>
      </c>
      <c r="J188">
        <v>42676</v>
      </c>
      <c r="K188">
        <v>43040</v>
      </c>
      <c r="L188">
        <v>169673</v>
      </c>
      <c r="M188">
        <v>193316</v>
      </c>
      <c r="N188">
        <v>23643</v>
      </c>
      <c r="O188">
        <v>4390.8428571428567</v>
      </c>
      <c r="P188">
        <v>36700.862142857142</v>
      </c>
      <c r="Q188">
        <v>1515.33</v>
      </c>
      <c r="R188">
        <v>3979.33</v>
      </c>
      <c r="S188">
        <v>40680.192142857144</v>
      </c>
      <c r="T188">
        <v>0</v>
      </c>
      <c r="U188">
        <v>41715</v>
      </c>
      <c r="V188">
        <v>-29390.192142857144</v>
      </c>
      <c r="W188" s="31" t="str">
        <f>VLOOKUP(vehicle_data[[#This Row],[Vehicle]],upfront[],6,FALSE)</f>
        <v>Grand Rapids</v>
      </c>
    </row>
    <row r="189" spans="1:24" x14ac:dyDescent="0.45">
      <c r="A189" t="s">
        <v>121</v>
      </c>
      <c r="B189">
        <v>7</v>
      </c>
      <c r="C189">
        <v>11290</v>
      </c>
      <c r="D189">
        <v>208859</v>
      </c>
      <c r="E189">
        <v>0.19972804619384368</v>
      </c>
      <c r="F189">
        <v>3.0227474037508556E-2</v>
      </c>
      <c r="G189">
        <v>0.18720249067552752</v>
      </c>
      <c r="H189">
        <v>0.41715801090687976</v>
      </c>
      <c r="I189">
        <v>-34122.205000000002</v>
      </c>
      <c r="J189">
        <v>43041</v>
      </c>
      <c r="K189">
        <v>43405</v>
      </c>
      <c r="L189">
        <v>193316</v>
      </c>
      <c r="M189">
        <v>208859</v>
      </c>
      <c r="N189">
        <v>15543</v>
      </c>
      <c r="O189">
        <v>2398.0628571428574</v>
      </c>
      <c r="P189">
        <v>39098.925000000003</v>
      </c>
      <c r="Q189">
        <v>2333.9499999999998</v>
      </c>
      <c r="R189">
        <v>6313.28</v>
      </c>
      <c r="S189">
        <v>45412.205000000002</v>
      </c>
      <c r="T189">
        <v>0</v>
      </c>
      <c r="U189">
        <v>41715</v>
      </c>
      <c r="V189">
        <v>-34122.205000000002</v>
      </c>
      <c r="W189" s="31" t="str">
        <f>VLOOKUP(vehicle_data[[#This Row],[Vehicle]],upfront[],6,FALSE)</f>
        <v>Grand Rapids</v>
      </c>
    </row>
    <row r="190" spans="1:24" x14ac:dyDescent="0.45">
      <c r="A190" t="s">
        <v>121</v>
      </c>
      <c r="B190">
        <v>8</v>
      </c>
      <c r="C190">
        <v>11290</v>
      </c>
      <c r="D190">
        <v>224259</v>
      </c>
      <c r="E190">
        <v>0.18601260150094309</v>
      </c>
      <c r="F190">
        <v>3.1741646935017097E-2</v>
      </c>
      <c r="G190">
        <v>0.18660979046548859</v>
      </c>
      <c r="H190">
        <v>0.40436403890144879</v>
      </c>
      <c r="I190">
        <v>-37677.275000000001</v>
      </c>
      <c r="J190">
        <v>43406</v>
      </c>
      <c r="K190">
        <v>43770</v>
      </c>
      <c r="L190">
        <v>208859</v>
      </c>
      <c r="M190">
        <v>224259</v>
      </c>
      <c r="N190">
        <v>15400</v>
      </c>
      <c r="O190">
        <v>2750</v>
      </c>
      <c r="P190">
        <v>41848.925000000003</v>
      </c>
      <c r="Q190">
        <v>805.07</v>
      </c>
      <c r="R190">
        <v>7118.3499999999995</v>
      </c>
      <c r="S190">
        <v>48967.275000000001</v>
      </c>
      <c r="T190">
        <v>0</v>
      </c>
      <c r="U190">
        <v>41715</v>
      </c>
      <c r="V190">
        <v>-37677.275000000001</v>
      </c>
      <c r="W190" s="31" t="str">
        <f>VLOOKUP(vehicle_data[[#This Row],[Vehicle]],upfront[],6,FALSE)</f>
        <v>Grand Rapids</v>
      </c>
    </row>
    <row r="191" spans="1:24" x14ac:dyDescent="0.45">
      <c r="A191" t="s">
        <v>123</v>
      </c>
      <c r="B191">
        <v>1</v>
      </c>
      <c r="C191">
        <v>34711</v>
      </c>
      <c r="D191">
        <v>25000</v>
      </c>
      <c r="E191">
        <v>0.35843999999999998</v>
      </c>
      <c r="F191">
        <v>0</v>
      </c>
      <c r="G191">
        <v>0.16666666666666669</v>
      </c>
      <c r="H191">
        <v>0.52510666666666661</v>
      </c>
      <c r="I191">
        <v>30544.333333333332</v>
      </c>
      <c r="J191">
        <v>43606</v>
      </c>
      <c r="K191">
        <v>43970</v>
      </c>
      <c r="L191">
        <v>0</v>
      </c>
      <c r="M191">
        <v>25000</v>
      </c>
      <c r="N191">
        <v>25000</v>
      </c>
      <c r="O191">
        <v>4166.666666666667</v>
      </c>
      <c r="P191">
        <v>4166.666666666667</v>
      </c>
      <c r="Q191">
        <v>0</v>
      </c>
      <c r="R191">
        <v>0</v>
      </c>
      <c r="S191">
        <v>4166.666666666667</v>
      </c>
      <c r="T191">
        <v>8961</v>
      </c>
      <c r="U191">
        <v>8961</v>
      </c>
      <c r="V191">
        <v>30544.333333333332</v>
      </c>
      <c r="W191" s="31" t="str">
        <f>VLOOKUP(vehicle_data[[#This Row],[Vehicle]],upfront[],6,FALSE)</f>
        <v>Grand Rapids</v>
      </c>
      <c r="X191" t="s">
        <v>190</v>
      </c>
    </row>
    <row r="192" spans="1:24" x14ac:dyDescent="0.45">
      <c r="A192" t="s">
        <v>123</v>
      </c>
      <c r="B192">
        <v>2</v>
      </c>
      <c r="C192">
        <v>25750</v>
      </c>
      <c r="D192">
        <v>58934</v>
      </c>
      <c r="E192">
        <v>0.30410289476363389</v>
      </c>
      <c r="F192">
        <v>9.8415176298910639E-3</v>
      </c>
      <c r="G192">
        <v>0.18585988846280022</v>
      </c>
      <c r="H192">
        <v>0.49980430085632516</v>
      </c>
      <c r="I192">
        <v>14216.533333333333</v>
      </c>
      <c r="J192">
        <v>43971</v>
      </c>
      <c r="K192">
        <v>44335</v>
      </c>
      <c r="L192">
        <v>25000</v>
      </c>
      <c r="M192">
        <v>58934</v>
      </c>
      <c r="N192">
        <v>33934</v>
      </c>
      <c r="O192">
        <v>6786.8000000000011</v>
      </c>
      <c r="P192">
        <v>10953.466666666667</v>
      </c>
      <c r="Q192">
        <v>580</v>
      </c>
      <c r="R192">
        <v>580</v>
      </c>
      <c r="S192">
        <v>11533.466666666667</v>
      </c>
      <c r="T192">
        <v>8961</v>
      </c>
      <c r="U192">
        <v>17922</v>
      </c>
      <c r="V192">
        <v>14216.533333333333</v>
      </c>
      <c r="W192" s="31" t="str">
        <f>VLOOKUP(vehicle_data[[#This Row],[Vehicle]],upfront[],6,FALSE)</f>
        <v>Grand Rapids</v>
      </c>
    </row>
    <row r="193" spans="1:24" x14ac:dyDescent="0.45">
      <c r="A193" t="s">
        <v>124</v>
      </c>
      <c r="B193">
        <v>1</v>
      </c>
      <c r="C193">
        <v>34760</v>
      </c>
      <c r="D193">
        <v>939</v>
      </c>
      <c r="E193">
        <v>10.023429179978701</v>
      </c>
      <c r="F193">
        <v>0</v>
      </c>
      <c r="G193">
        <v>0.2</v>
      </c>
      <c r="H193">
        <v>10.2234291799787</v>
      </c>
      <c r="I193">
        <v>34572.199999999997</v>
      </c>
      <c r="J193">
        <v>43868</v>
      </c>
      <c r="K193">
        <v>44232</v>
      </c>
      <c r="L193">
        <v>0</v>
      </c>
      <c r="M193">
        <v>939</v>
      </c>
      <c r="N193">
        <v>939</v>
      </c>
      <c r="O193">
        <v>187.8</v>
      </c>
      <c r="P193">
        <v>187.8</v>
      </c>
      <c r="Q193">
        <v>0</v>
      </c>
      <c r="R193">
        <v>0</v>
      </c>
      <c r="S193">
        <v>187.8</v>
      </c>
      <c r="T193">
        <v>9412</v>
      </c>
      <c r="U193">
        <v>9412</v>
      </c>
      <c r="V193">
        <v>34572.199999999997</v>
      </c>
      <c r="W193" s="31" t="str">
        <f>VLOOKUP(vehicle_data[[#This Row],[Vehicle]],upfront[],6,FALSE)</f>
        <v>Grand Rapids</v>
      </c>
      <c r="X193" t="s">
        <v>190</v>
      </c>
    </row>
    <row r="194" spans="1:24" x14ac:dyDescent="0.45">
      <c r="A194" t="s">
        <v>145</v>
      </c>
      <c r="B194">
        <v>1</v>
      </c>
      <c r="C194">
        <v>40937.599999999999</v>
      </c>
      <c r="D194">
        <v>29324</v>
      </c>
      <c r="E194">
        <v>0.1975992361205838</v>
      </c>
      <c r="F194">
        <v>2.0738644114036284E-2</v>
      </c>
      <c r="G194">
        <v>0.13444444444444442</v>
      </c>
      <c r="H194">
        <v>0.35278232467906451</v>
      </c>
      <c r="I194">
        <v>36387.011111111111</v>
      </c>
      <c r="J194">
        <v>41736</v>
      </c>
      <c r="K194">
        <v>42100</v>
      </c>
      <c r="L194">
        <v>0</v>
      </c>
      <c r="M194">
        <v>29324</v>
      </c>
      <c r="N194">
        <v>29324</v>
      </c>
      <c r="O194">
        <v>3942.4488888888886</v>
      </c>
      <c r="P194">
        <v>3942.4488888888886</v>
      </c>
      <c r="Q194">
        <v>608.14</v>
      </c>
      <c r="R194">
        <v>608.14</v>
      </c>
      <c r="S194">
        <v>4550.5888888888885</v>
      </c>
      <c r="T194">
        <v>5794.4</v>
      </c>
      <c r="U194">
        <v>5794.4</v>
      </c>
      <c r="V194">
        <v>36387.011111111111</v>
      </c>
      <c r="W194" s="31" t="str">
        <f>VLOOKUP(vehicle_data[[#This Row],[Vehicle]],upfront[],6,FALSE)</f>
        <v>South Bend</v>
      </c>
      <c r="X194">
        <v>5</v>
      </c>
    </row>
    <row r="195" spans="1:24" x14ac:dyDescent="0.45">
      <c r="A195" t="s">
        <v>145</v>
      </c>
      <c r="B195">
        <v>2</v>
      </c>
      <c r="C195">
        <v>35143.199999999997</v>
      </c>
      <c r="D195">
        <v>41717</v>
      </c>
      <c r="E195">
        <v>0.27779562288755183</v>
      </c>
      <c r="F195">
        <v>2.2368339046431911E-2</v>
      </c>
      <c r="G195">
        <v>0.14055094778840493</v>
      </c>
      <c r="H195">
        <v>0.44071490972238869</v>
      </c>
      <c r="I195">
        <v>28346.696111111109</v>
      </c>
      <c r="J195">
        <v>42101</v>
      </c>
      <c r="K195">
        <v>42465</v>
      </c>
      <c r="L195">
        <v>29324</v>
      </c>
      <c r="M195">
        <v>41717</v>
      </c>
      <c r="N195">
        <v>12393</v>
      </c>
      <c r="O195">
        <v>1920.915</v>
      </c>
      <c r="P195">
        <v>5863.3638888888891</v>
      </c>
      <c r="Q195">
        <v>325</v>
      </c>
      <c r="R195">
        <v>933.14</v>
      </c>
      <c r="S195">
        <v>6796.5038888888894</v>
      </c>
      <c r="T195">
        <v>5794.4</v>
      </c>
      <c r="U195">
        <v>11588.8</v>
      </c>
      <c r="V195">
        <v>28346.696111111109</v>
      </c>
      <c r="W195" s="31" t="str">
        <f>VLOOKUP(vehicle_data[[#This Row],[Vehicle]],upfront[],6,FALSE)</f>
        <v>South Bend</v>
      </c>
    </row>
    <row r="196" spans="1:24" x14ac:dyDescent="0.45">
      <c r="A196" t="s">
        <v>145</v>
      </c>
      <c r="B196">
        <v>3</v>
      </c>
      <c r="C196">
        <v>29348.799999999996</v>
      </c>
      <c r="D196">
        <v>53682</v>
      </c>
      <c r="E196">
        <v>0.32381803956633504</v>
      </c>
      <c r="F196">
        <v>2.2039789873700678E-2</v>
      </c>
      <c r="G196">
        <v>0.14141875613178842</v>
      </c>
      <c r="H196">
        <v>0.48727658557182418</v>
      </c>
      <c r="I196">
        <v>20574.01833333333</v>
      </c>
      <c r="J196">
        <v>42466</v>
      </c>
      <c r="K196">
        <v>42830</v>
      </c>
      <c r="L196">
        <v>41717</v>
      </c>
      <c r="M196">
        <v>53682</v>
      </c>
      <c r="N196">
        <v>11965</v>
      </c>
      <c r="O196">
        <v>1728.2777777777776</v>
      </c>
      <c r="P196">
        <v>7591.6416666666664</v>
      </c>
      <c r="Q196">
        <v>250</v>
      </c>
      <c r="R196">
        <v>1183.1399999999999</v>
      </c>
      <c r="S196">
        <v>8774.7816666666658</v>
      </c>
      <c r="T196">
        <v>5794.4</v>
      </c>
      <c r="U196">
        <v>17383.199999999997</v>
      </c>
      <c r="V196">
        <v>20574.01833333333</v>
      </c>
      <c r="W196" s="31" t="str">
        <f>VLOOKUP(vehicle_data[[#This Row],[Vehicle]],upfront[],6,FALSE)</f>
        <v>South Bend</v>
      </c>
    </row>
    <row r="197" spans="1:24" x14ac:dyDescent="0.45">
      <c r="A197" t="s">
        <v>145</v>
      </c>
      <c r="B197">
        <v>4</v>
      </c>
      <c r="C197">
        <v>23554.399999999994</v>
      </c>
      <c r="D197">
        <v>56298</v>
      </c>
      <c r="E197">
        <v>0.41169490923301005</v>
      </c>
      <c r="F197">
        <v>9.8847561192227082E-2</v>
      </c>
      <c r="G197">
        <v>0.14042349047331462</v>
      </c>
      <c r="H197">
        <v>0.65096596089855174</v>
      </c>
      <c r="I197">
        <v>10083.918333333328</v>
      </c>
      <c r="J197">
        <v>42831</v>
      </c>
      <c r="K197">
        <v>43195</v>
      </c>
      <c r="L197">
        <v>53682</v>
      </c>
      <c r="M197">
        <v>56298</v>
      </c>
      <c r="N197">
        <v>2616</v>
      </c>
      <c r="O197">
        <v>313.92</v>
      </c>
      <c r="P197">
        <v>7905.5616666666665</v>
      </c>
      <c r="Q197">
        <v>4381.78</v>
      </c>
      <c r="R197">
        <v>5564.92</v>
      </c>
      <c r="S197">
        <v>13470.481666666667</v>
      </c>
      <c r="T197">
        <v>5794.4</v>
      </c>
      <c r="U197">
        <v>23177.599999999999</v>
      </c>
      <c r="V197">
        <v>10083.918333333328</v>
      </c>
      <c r="W197" s="31" t="str">
        <f>VLOOKUP(vehicle_data[[#This Row],[Vehicle]],upfront[],6,FALSE)</f>
        <v>South Bend</v>
      </c>
    </row>
    <row r="198" spans="1:24" x14ac:dyDescent="0.45">
      <c r="A198" t="s">
        <v>145</v>
      </c>
      <c r="B198">
        <v>5</v>
      </c>
      <c r="C198">
        <v>17759.999999999993</v>
      </c>
      <c r="D198">
        <v>75525</v>
      </c>
      <c r="E198">
        <v>0.38360807679576298</v>
      </c>
      <c r="F198">
        <v>0.11278146309169149</v>
      </c>
      <c r="G198">
        <v>0.14003281474125565</v>
      </c>
      <c r="H198">
        <v>0.63642235462871011</v>
      </c>
      <c r="I198">
        <v>-1333.7983333333395</v>
      </c>
      <c r="J198">
        <v>43196</v>
      </c>
      <c r="K198">
        <v>43560</v>
      </c>
      <c r="L198">
        <v>56298</v>
      </c>
      <c r="M198">
        <v>75525</v>
      </c>
      <c r="N198">
        <v>19227</v>
      </c>
      <c r="O198">
        <v>2670.416666666667</v>
      </c>
      <c r="P198">
        <v>10575.978333333333</v>
      </c>
      <c r="Q198">
        <v>2952.9</v>
      </c>
      <c r="R198">
        <v>8517.82</v>
      </c>
      <c r="S198">
        <v>19093.798333333332</v>
      </c>
      <c r="T198">
        <v>5794.4</v>
      </c>
      <c r="U198">
        <v>28972</v>
      </c>
      <c r="V198">
        <v>-1333.7983333333395</v>
      </c>
      <c r="W198" s="31" t="str">
        <f>VLOOKUP(vehicle_data[[#This Row],[Vehicle]],upfront[],6,FALSE)</f>
        <v>South Bend</v>
      </c>
    </row>
    <row r="199" spans="1:24" x14ac:dyDescent="0.45">
      <c r="A199" t="s">
        <v>145</v>
      </c>
      <c r="B199">
        <v>6</v>
      </c>
      <c r="C199">
        <v>17759.999999999993</v>
      </c>
      <c r="D199">
        <v>82683</v>
      </c>
      <c r="E199">
        <v>0.35039850997182009</v>
      </c>
      <c r="F199">
        <v>0.10422722929743719</v>
      </c>
      <c r="G199">
        <v>0.13993378324443959</v>
      </c>
      <c r="H199">
        <v>0.59455952251369693</v>
      </c>
      <c r="I199">
        <v>-2427.9650000000038</v>
      </c>
      <c r="J199">
        <v>43561</v>
      </c>
      <c r="K199">
        <v>43925</v>
      </c>
      <c r="L199">
        <v>75525</v>
      </c>
      <c r="M199">
        <v>82683</v>
      </c>
      <c r="N199">
        <v>7158</v>
      </c>
      <c r="O199">
        <v>994.16666666666674</v>
      </c>
      <c r="P199">
        <v>11570.144999999999</v>
      </c>
      <c r="Q199">
        <v>100</v>
      </c>
      <c r="R199">
        <v>8617.82</v>
      </c>
      <c r="S199">
        <v>20187.964999999997</v>
      </c>
      <c r="T199">
        <v>0</v>
      </c>
      <c r="U199">
        <v>28972</v>
      </c>
      <c r="V199">
        <v>-2427.9650000000038</v>
      </c>
      <c r="W199" s="31" t="str">
        <f>VLOOKUP(vehicle_data[[#This Row],[Vehicle]],upfront[],6,FALSE)</f>
        <v>South Bend</v>
      </c>
    </row>
    <row r="200" spans="1:24" x14ac:dyDescent="0.45">
      <c r="A200" t="s">
        <v>146</v>
      </c>
      <c r="B200">
        <v>1</v>
      </c>
      <c r="C200">
        <v>49079.6</v>
      </c>
      <c r="D200">
        <v>30422</v>
      </c>
      <c r="E200">
        <v>3.5908224311353626E-2</v>
      </c>
      <c r="F200">
        <v>1.7867004141739529E-2</v>
      </c>
      <c r="G200">
        <v>0.16461538461538464</v>
      </c>
      <c r="H200">
        <v>0.21839061306847779</v>
      </c>
      <c r="I200">
        <v>43528.120769230765</v>
      </c>
      <c r="J200">
        <v>41498</v>
      </c>
      <c r="K200">
        <v>41862</v>
      </c>
      <c r="L200">
        <v>0</v>
      </c>
      <c r="M200">
        <v>30422</v>
      </c>
      <c r="N200">
        <v>30422</v>
      </c>
      <c r="O200">
        <v>5007.9292307692313</v>
      </c>
      <c r="P200">
        <v>5007.9292307692313</v>
      </c>
      <c r="Q200">
        <v>543.54999999999995</v>
      </c>
      <c r="R200">
        <v>543.54999999999995</v>
      </c>
      <c r="S200">
        <v>5551.4792307692314</v>
      </c>
      <c r="T200">
        <v>1092.4000000000001</v>
      </c>
      <c r="U200">
        <v>1092.4000000000001</v>
      </c>
      <c r="V200">
        <v>43528.120769230765</v>
      </c>
      <c r="W200" s="31" t="str">
        <f>VLOOKUP(vehicle_data[[#This Row],[Vehicle]],upfront[],6,FALSE)</f>
        <v>South Bend</v>
      </c>
      <c r="X200" t="s">
        <v>190</v>
      </c>
    </row>
    <row r="201" spans="1:24" x14ac:dyDescent="0.45">
      <c r="A201" t="s">
        <v>146</v>
      </c>
      <c r="B201">
        <v>2</v>
      </c>
      <c r="C201">
        <v>47987.199999999997</v>
      </c>
      <c r="D201">
        <v>58794</v>
      </c>
      <c r="E201">
        <v>3.7160254447732764E-2</v>
      </c>
      <c r="F201">
        <v>1.6521413749702351E-2</v>
      </c>
      <c r="G201">
        <v>0.17500911919321965</v>
      </c>
      <c r="H201">
        <v>0.22869078739065477</v>
      </c>
      <c r="I201">
        <v>36726.353846153841</v>
      </c>
      <c r="J201">
        <v>41863</v>
      </c>
      <c r="K201">
        <v>42227</v>
      </c>
      <c r="L201">
        <v>30422</v>
      </c>
      <c r="M201">
        <v>58794</v>
      </c>
      <c r="N201">
        <v>28372</v>
      </c>
      <c r="O201">
        <v>5281.5569230769233</v>
      </c>
      <c r="P201">
        <v>10289.486153846156</v>
      </c>
      <c r="Q201">
        <v>427.81000000000006</v>
      </c>
      <c r="R201">
        <v>971.36</v>
      </c>
      <c r="S201">
        <v>11260.846153846156</v>
      </c>
      <c r="T201">
        <v>1092.4000000000001</v>
      </c>
      <c r="U201">
        <v>2184.8000000000002</v>
      </c>
      <c r="V201">
        <v>36726.353846153841</v>
      </c>
      <c r="W201" s="31" t="str">
        <f>VLOOKUP(vehicle_data[[#This Row],[Vehicle]],upfront[],6,FALSE)</f>
        <v>South Bend</v>
      </c>
    </row>
    <row r="202" spans="1:24" x14ac:dyDescent="0.45">
      <c r="A202" t="s">
        <v>146</v>
      </c>
      <c r="B202">
        <v>3</v>
      </c>
      <c r="C202">
        <v>46894.799999999996</v>
      </c>
      <c r="D202">
        <v>95591</v>
      </c>
      <c r="E202">
        <v>3.4283562260045405E-2</v>
      </c>
      <c r="F202">
        <v>1.9000638135389315E-2</v>
      </c>
      <c r="G202">
        <v>0.1902552380615169</v>
      </c>
      <c r="H202">
        <v>0.24353943845695161</v>
      </c>
      <c r="I202">
        <v>26891.821538461532</v>
      </c>
      <c r="J202">
        <v>42228</v>
      </c>
      <c r="K202">
        <v>42592</v>
      </c>
      <c r="L202">
        <v>58794</v>
      </c>
      <c r="M202">
        <v>95591</v>
      </c>
      <c r="N202">
        <v>36797</v>
      </c>
      <c r="O202">
        <v>7897.2023076923078</v>
      </c>
      <c r="P202">
        <v>18186.688461538462</v>
      </c>
      <c r="Q202">
        <v>844.93</v>
      </c>
      <c r="R202">
        <v>1816.29</v>
      </c>
      <c r="S202">
        <v>20002.978461538463</v>
      </c>
      <c r="T202">
        <v>1092.4000000000001</v>
      </c>
      <c r="U202">
        <v>3277.2000000000003</v>
      </c>
      <c r="V202">
        <v>26891.821538461532</v>
      </c>
      <c r="W202" s="31" t="str">
        <f>VLOOKUP(vehicle_data[[#This Row],[Vehicle]],upfront[],6,FALSE)</f>
        <v>South Bend</v>
      </c>
    </row>
    <row r="203" spans="1:24" x14ac:dyDescent="0.45">
      <c r="A203" t="s">
        <v>146</v>
      </c>
      <c r="B203">
        <v>4</v>
      </c>
      <c r="C203">
        <v>45802.399999999994</v>
      </c>
      <c r="D203">
        <v>146068</v>
      </c>
      <c r="E203">
        <v>2.9914834186817101E-2</v>
      </c>
      <c r="F203">
        <v>1.4559109455869869E-2</v>
      </c>
      <c r="G203">
        <v>0.19362275420720804</v>
      </c>
      <c r="H203">
        <v>0.23809669784989501</v>
      </c>
      <c r="I203">
        <v>15393.691538461531</v>
      </c>
      <c r="J203">
        <v>42593</v>
      </c>
      <c r="K203">
        <v>42957</v>
      </c>
      <c r="L203">
        <v>95591</v>
      </c>
      <c r="M203">
        <v>146068</v>
      </c>
      <c r="N203">
        <v>50477</v>
      </c>
      <c r="O203">
        <v>10095.4</v>
      </c>
      <c r="P203">
        <v>28282.088461538464</v>
      </c>
      <c r="Q203">
        <v>310.33000000000004</v>
      </c>
      <c r="R203">
        <v>2126.62</v>
      </c>
      <c r="S203">
        <v>30408.708461538463</v>
      </c>
      <c r="T203">
        <v>1092.4000000000001</v>
      </c>
      <c r="U203">
        <v>4369.6000000000004</v>
      </c>
      <c r="V203">
        <v>15393.691538461531</v>
      </c>
      <c r="W203" s="31" t="str">
        <f>VLOOKUP(vehicle_data[[#This Row],[Vehicle]],upfront[],6,FALSE)</f>
        <v>South Bend</v>
      </c>
    </row>
    <row r="204" spans="1:24" x14ac:dyDescent="0.45">
      <c r="A204" t="s">
        <v>146</v>
      </c>
      <c r="B204">
        <v>5</v>
      </c>
      <c r="C204">
        <v>44709.999999999993</v>
      </c>
      <c r="D204">
        <v>167865</v>
      </c>
      <c r="E204">
        <v>3.2538051410359516E-2</v>
      </c>
      <c r="F204">
        <v>4.419313138533941E-2</v>
      </c>
      <c r="G204">
        <v>0.19005596071935096</v>
      </c>
      <c r="H204">
        <v>0.2667871435150499</v>
      </c>
      <c r="I204">
        <v>5387.7761538461418</v>
      </c>
      <c r="J204">
        <v>42958</v>
      </c>
      <c r="K204">
        <v>43322</v>
      </c>
      <c r="L204">
        <v>146068</v>
      </c>
      <c r="M204">
        <v>167865</v>
      </c>
      <c r="N204">
        <v>21797</v>
      </c>
      <c r="O204">
        <v>3621.6553846153847</v>
      </c>
      <c r="P204">
        <v>31903.743846153848</v>
      </c>
      <c r="Q204">
        <v>5291.8600000000006</v>
      </c>
      <c r="R204">
        <v>7418.4800000000005</v>
      </c>
      <c r="S204">
        <v>39322.223846153851</v>
      </c>
      <c r="T204">
        <v>1092.4000000000001</v>
      </c>
      <c r="U204">
        <v>5462</v>
      </c>
      <c r="V204">
        <v>5387.7761538461418</v>
      </c>
      <c r="W204" s="31" t="str">
        <f>VLOOKUP(vehicle_data[[#This Row],[Vehicle]],upfront[],6,FALSE)</f>
        <v>South Bend</v>
      </c>
    </row>
    <row r="205" spans="1:24" x14ac:dyDescent="0.45">
      <c r="A205" t="s">
        <v>146</v>
      </c>
      <c r="B205">
        <v>6</v>
      </c>
      <c r="C205">
        <v>44709.999999999993</v>
      </c>
      <c r="D205">
        <v>186263</v>
      </c>
      <c r="E205">
        <v>2.9324127711891249E-2</v>
      </c>
      <c r="F205">
        <v>4.0493281005889524E-2</v>
      </c>
      <c r="G205">
        <v>0.19027837396171418</v>
      </c>
      <c r="H205">
        <v>0.26009578267949496</v>
      </c>
      <c r="I205">
        <v>1725.7792307692216</v>
      </c>
      <c r="J205">
        <v>43323</v>
      </c>
      <c r="K205">
        <v>43687</v>
      </c>
      <c r="L205">
        <v>167865</v>
      </c>
      <c r="M205">
        <v>186263</v>
      </c>
      <c r="N205">
        <v>18398</v>
      </c>
      <c r="O205">
        <v>3538.0769230769233</v>
      </c>
      <c r="P205">
        <v>35441.82076923077</v>
      </c>
      <c r="Q205">
        <v>123.92</v>
      </c>
      <c r="R205">
        <v>7542.4000000000005</v>
      </c>
      <c r="S205">
        <v>42984.220769230771</v>
      </c>
      <c r="T205">
        <v>0</v>
      </c>
      <c r="U205">
        <v>5462</v>
      </c>
      <c r="V205">
        <v>1725.7792307692216</v>
      </c>
      <c r="W205" s="31" t="str">
        <f>VLOOKUP(vehicle_data[[#This Row],[Vehicle]],upfront[],6,FALSE)</f>
        <v>South Bend</v>
      </c>
    </row>
    <row r="206" spans="1:24" x14ac:dyDescent="0.45">
      <c r="A206" t="s">
        <v>192</v>
      </c>
      <c r="B206">
        <v>1</v>
      </c>
      <c r="C206">
        <v>44336</v>
      </c>
      <c r="D206">
        <v>11026</v>
      </c>
      <c r="E206">
        <v>0.52929439506620712</v>
      </c>
      <c r="F206">
        <v>1.4511155450752766E-2</v>
      </c>
      <c r="G206">
        <v>0.19230769230769229</v>
      </c>
      <c r="H206">
        <v>0.73611324282465218</v>
      </c>
      <c r="I206">
        <v>42055.615384615383</v>
      </c>
      <c r="J206">
        <v>43700</v>
      </c>
      <c r="K206">
        <v>44064</v>
      </c>
      <c r="L206">
        <v>0</v>
      </c>
      <c r="M206">
        <v>11026</v>
      </c>
      <c r="N206">
        <v>11026</v>
      </c>
      <c r="O206">
        <v>2120.3846153846152</v>
      </c>
      <c r="P206">
        <v>2120.3846153846152</v>
      </c>
      <c r="Q206">
        <v>160</v>
      </c>
      <c r="R206">
        <v>160</v>
      </c>
      <c r="S206">
        <v>2280.3846153846152</v>
      </c>
      <c r="T206">
        <v>5836</v>
      </c>
      <c r="U206">
        <v>5836</v>
      </c>
      <c r="V206">
        <v>42055.615384615383</v>
      </c>
      <c r="W206" s="31" t="str">
        <f>VLOOKUP(vehicle_data[[#This Row],[Vehicle]],upfront[],6,FALSE)</f>
        <v>South Bend</v>
      </c>
      <c r="X206" t="s">
        <v>190</v>
      </c>
    </row>
    <row r="207" spans="1:24" x14ac:dyDescent="0.45">
      <c r="A207" t="s">
        <v>192</v>
      </c>
      <c r="B207">
        <v>2</v>
      </c>
      <c r="C207">
        <v>38500</v>
      </c>
      <c r="D207">
        <v>27346</v>
      </c>
      <c r="E207">
        <v>0.42682659255466981</v>
      </c>
      <c r="F207">
        <v>1.5358736195421633E-2</v>
      </c>
      <c r="G207">
        <v>0.21526140794041038</v>
      </c>
      <c r="H207">
        <v>0.6574467366905018</v>
      </c>
      <c r="I207">
        <v>32193.461538461539</v>
      </c>
      <c r="J207">
        <v>44065</v>
      </c>
      <c r="K207">
        <v>44429</v>
      </c>
      <c r="L207">
        <v>11026</v>
      </c>
      <c r="M207">
        <v>27346</v>
      </c>
      <c r="N207">
        <v>16320</v>
      </c>
      <c r="O207">
        <v>3766.1538461538466</v>
      </c>
      <c r="P207">
        <v>5886.5384615384619</v>
      </c>
      <c r="Q207">
        <v>260</v>
      </c>
      <c r="R207">
        <v>420</v>
      </c>
      <c r="S207">
        <v>6306.5384615384619</v>
      </c>
      <c r="T207">
        <v>5836</v>
      </c>
      <c r="U207">
        <v>11672</v>
      </c>
      <c r="V207">
        <v>32193.461538461539</v>
      </c>
      <c r="W207" s="31" t="str">
        <f>VLOOKUP(vehicle_data[[#This Row],[Vehicle]],upfront[],6,FALSE)</f>
        <v>South Bend</v>
      </c>
    </row>
    <row r="208" spans="1:24" x14ac:dyDescent="0.45">
      <c r="A208" t="s">
        <v>148</v>
      </c>
      <c r="B208">
        <v>1</v>
      </c>
      <c r="C208">
        <v>42360</v>
      </c>
      <c r="D208">
        <v>3000</v>
      </c>
      <c r="E208">
        <v>1.9616666666666667</v>
      </c>
      <c r="F208">
        <v>4.1666666666666664E-2</v>
      </c>
      <c r="G208">
        <v>0.186</v>
      </c>
      <c r="H208">
        <v>2.1893333333333334</v>
      </c>
      <c r="I208">
        <v>41677</v>
      </c>
      <c r="J208">
        <v>42005</v>
      </c>
      <c r="K208">
        <v>42369</v>
      </c>
      <c r="L208">
        <v>0</v>
      </c>
      <c r="M208">
        <v>3000</v>
      </c>
      <c r="N208">
        <v>3000</v>
      </c>
      <c r="O208">
        <v>558</v>
      </c>
      <c r="P208">
        <v>558</v>
      </c>
      <c r="Q208">
        <v>125</v>
      </c>
      <c r="R208">
        <v>125</v>
      </c>
      <c r="S208">
        <v>683</v>
      </c>
      <c r="T208">
        <v>5885</v>
      </c>
      <c r="U208">
        <v>5885</v>
      </c>
      <c r="V208">
        <v>41677</v>
      </c>
      <c r="W208" s="31" t="str">
        <f>VLOOKUP(vehicle_data[[#This Row],[Vehicle]],upfront[],6,FALSE)</f>
        <v>South Bend</v>
      </c>
      <c r="X208" t="s">
        <v>190</v>
      </c>
    </row>
    <row r="209" spans="1:24" x14ac:dyDescent="0.45">
      <c r="A209" t="s">
        <v>148</v>
      </c>
      <c r="B209">
        <v>2</v>
      </c>
      <c r="C209">
        <v>36475</v>
      </c>
      <c r="D209">
        <v>5000</v>
      </c>
      <c r="E209">
        <v>2.3540000000000001</v>
      </c>
      <c r="F209">
        <v>2.5000000000000001E-2</v>
      </c>
      <c r="G209">
        <v>0.18093333333333333</v>
      </c>
      <c r="H209">
        <v>2.5599333333333334</v>
      </c>
      <c r="I209">
        <v>35445.333333333336</v>
      </c>
      <c r="J209">
        <v>42370</v>
      </c>
      <c r="K209">
        <v>42734</v>
      </c>
      <c r="L209">
        <v>3000</v>
      </c>
      <c r="M209">
        <v>5000</v>
      </c>
      <c r="N209">
        <v>2000</v>
      </c>
      <c r="O209">
        <v>346.66666666666669</v>
      </c>
      <c r="P209">
        <v>904.66666666666674</v>
      </c>
      <c r="Q209">
        <v>0</v>
      </c>
      <c r="R209">
        <v>125</v>
      </c>
      <c r="S209">
        <v>1029.6666666666667</v>
      </c>
      <c r="T209">
        <v>5885</v>
      </c>
      <c r="U209">
        <v>11770</v>
      </c>
      <c r="V209">
        <v>35445.333333333336</v>
      </c>
      <c r="W209" s="31" t="str">
        <f>VLOOKUP(vehicle_data[[#This Row],[Vehicle]],upfront[],6,FALSE)</f>
        <v>South Bend</v>
      </c>
    </row>
    <row r="210" spans="1:24" x14ac:dyDescent="0.45">
      <c r="A210" t="s">
        <v>148</v>
      </c>
      <c r="B210">
        <v>3</v>
      </c>
      <c r="C210">
        <v>30590</v>
      </c>
      <c r="D210">
        <v>14752</v>
      </c>
      <c r="E210">
        <v>1.1967868763557483</v>
      </c>
      <c r="F210">
        <v>2.9254338394793928E-2</v>
      </c>
      <c r="G210">
        <v>0.17590925524222703</v>
      </c>
      <c r="H210">
        <v>1.4019504699927692</v>
      </c>
      <c r="I210">
        <v>27563.426666666666</v>
      </c>
      <c r="J210">
        <v>42735</v>
      </c>
      <c r="K210">
        <v>43099</v>
      </c>
      <c r="L210">
        <v>5000</v>
      </c>
      <c r="M210">
        <v>14752</v>
      </c>
      <c r="N210">
        <v>9752</v>
      </c>
      <c r="O210">
        <v>1690.3466666666668</v>
      </c>
      <c r="P210">
        <v>2595.0133333333333</v>
      </c>
      <c r="Q210">
        <v>306.56</v>
      </c>
      <c r="R210">
        <v>431.56</v>
      </c>
      <c r="S210">
        <v>3026.5733333333333</v>
      </c>
      <c r="T210">
        <v>5885</v>
      </c>
      <c r="U210">
        <v>17655</v>
      </c>
      <c r="V210">
        <v>27563.426666666666</v>
      </c>
      <c r="W210" s="31" t="str">
        <f>VLOOKUP(vehicle_data[[#This Row],[Vehicle]],upfront[],6,FALSE)</f>
        <v>South Bend</v>
      </c>
    </row>
    <row r="211" spans="1:24" x14ac:dyDescent="0.45">
      <c r="A211" t="s">
        <v>148</v>
      </c>
      <c r="B211">
        <v>4</v>
      </c>
      <c r="C211">
        <v>24705</v>
      </c>
      <c r="D211">
        <v>33304</v>
      </c>
      <c r="E211">
        <v>0.70682200336295942</v>
      </c>
      <c r="F211">
        <v>4.3433221234686521E-2</v>
      </c>
      <c r="G211">
        <v>0.15813419809432303</v>
      </c>
      <c r="H211">
        <v>0.90838942269196898</v>
      </c>
      <c r="I211">
        <v>17991.998666666666</v>
      </c>
      <c r="J211">
        <v>43100</v>
      </c>
      <c r="K211">
        <v>43464</v>
      </c>
      <c r="L211">
        <v>14752</v>
      </c>
      <c r="M211">
        <v>33304</v>
      </c>
      <c r="N211">
        <v>18552</v>
      </c>
      <c r="O211">
        <v>2671.4880000000003</v>
      </c>
      <c r="P211">
        <v>5266.5013333333336</v>
      </c>
      <c r="Q211">
        <v>1014.9399999999999</v>
      </c>
      <c r="R211">
        <v>1446.5</v>
      </c>
      <c r="S211">
        <v>6713.0013333333336</v>
      </c>
      <c r="T211">
        <v>5885</v>
      </c>
      <c r="U211">
        <v>23540</v>
      </c>
      <c r="V211">
        <v>17991.998666666666</v>
      </c>
      <c r="W211" s="31" t="str">
        <f>VLOOKUP(vehicle_data[[#This Row],[Vehicle]],upfront[],6,FALSE)</f>
        <v>South Bend</v>
      </c>
    </row>
    <row r="212" spans="1:24" x14ac:dyDescent="0.45">
      <c r="A212" t="s">
        <v>148</v>
      </c>
      <c r="B212">
        <v>5</v>
      </c>
      <c r="C212">
        <v>18820</v>
      </c>
      <c r="D212">
        <v>69500</v>
      </c>
      <c r="E212">
        <v>0.42338129496402876</v>
      </c>
      <c r="F212">
        <v>4.1316546762589931E-2</v>
      </c>
      <c r="G212">
        <v>0.16257795683453236</v>
      </c>
      <c r="H212">
        <v>0.62727579856115101</v>
      </c>
      <c r="I212">
        <v>4649.3320000000003</v>
      </c>
      <c r="J212">
        <v>43465</v>
      </c>
      <c r="K212">
        <v>43829</v>
      </c>
      <c r="L212">
        <v>33304</v>
      </c>
      <c r="M212">
        <v>69500</v>
      </c>
      <c r="N212">
        <v>36196</v>
      </c>
      <c r="O212">
        <v>6032.6666666666661</v>
      </c>
      <c r="P212">
        <v>11299.168</v>
      </c>
      <c r="Q212">
        <v>1425</v>
      </c>
      <c r="R212">
        <v>2871.5</v>
      </c>
      <c r="S212">
        <v>14170.668</v>
      </c>
      <c r="T212">
        <v>5885</v>
      </c>
      <c r="U212">
        <v>29425</v>
      </c>
      <c r="V212">
        <v>4649.3320000000003</v>
      </c>
      <c r="W212" s="31" t="str">
        <f>VLOOKUP(vehicle_data[[#This Row],[Vehicle]],upfront[],6,FALSE)</f>
        <v>South Bend</v>
      </c>
    </row>
    <row r="213" spans="1:24" x14ac:dyDescent="0.45">
      <c r="A213" t="s">
        <v>148</v>
      </c>
      <c r="B213">
        <v>6</v>
      </c>
      <c r="C213">
        <v>18820</v>
      </c>
      <c r="D213">
        <v>89872</v>
      </c>
      <c r="E213">
        <v>0.32741009435641799</v>
      </c>
      <c r="F213">
        <v>4.0018025636460744E-2</v>
      </c>
      <c r="G213">
        <v>0.16350477716455997</v>
      </c>
      <c r="H213">
        <v>0.53093289715743874</v>
      </c>
      <c r="I213">
        <v>528.9986666666664</v>
      </c>
      <c r="J213">
        <v>43830</v>
      </c>
      <c r="K213">
        <v>44194</v>
      </c>
      <c r="L213">
        <v>69500</v>
      </c>
      <c r="M213">
        <v>89872</v>
      </c>
      <c r="N213">
        <v>20372</v>
      </c>
      <c r="O213">
        <v>3395.3333333333335</v>
      </c>
      <c r="P213">
        <v>14694.501333333334</v>
      </c>
      <c r="Q213">
        <v>725</v>
      </c>
      <c r="R213">
        <v>3596.5</v>
      </c>
      <c r="S213">
        <v>18291.001333333334</v>
      </c>
      <c r="T213">
        <v>0</v>
      </c>
      <c r="U213">
        <v>29425</v>
      </c>
      <c r="V213">
        <v>528.9986666666664</v>
      </c>
      <c r="W213" s="31" t="str">
        <f>VLOOKUP(vehicle_data[[#This Row],[Vehicle]],upfront[],6,FALSE)</f>
        <v>South Bend</v>
      </c>
    </row>
    <row r="214" spans="1:24" x14ac:dyDescent="0.45">
      <c r="A214" t="s">
        <v>149</v>
      </c>
      <c r="B214">
        <v>1</v>
      </c>
      <c r="C214">
        <v>35892.666666666664</v>
      </c>
      <c r="D214">
        <v>33392</v>
      </c>
      <c r="E214">
        <v>0.31388755789809936</v>
      </c>
      <c r="F214">
        <v>3.6148179204599902E-2</v>
      </c>
      <c r="G214">
        <v>0.14400000000000002</v>
      </c>
      <c r="H214">
        <v>0.49403573710269927</v>
      </c>
      <c r="I214">
        <v>29877.158666666663</v>
      </c>
      <c r="J214">
        <v>42879</v>
      </c>
      <c r="K214">
        <v>43243</v>
      </c>
      <c r="L214">
        <v>0</v>
      </c>
      <c r="M214">
        <v>33392</v>
      </c>
      <c r="N214">
        <v>33392</v>
      </c>
      <c r="O214">
        <v>4808.4480000000003</v>
      </c>
      <c r="P214">
        <v>4808.4480000000003</v>
      </c>
      <c r="Q214">
        <v>1207.06</v>
      </c>
      <c r="R214">
        <v>1207.06</v>
      </c>
      <c r="S214">
        <v>6015.5079999999998</v>
      </c>
      <c r="T214">
        <v>10481.333333333334</v>
      </c>
      <c r="U214">
        <v>10481.333333333334</v>
      </c>
      <c r="V214">
        <v>29877.158666666663</v>
      </c>
      <c r="W214" s="31" t="str">
        <f>VLOOKUP(vehicle_data[[#This Row],[Vehicle]],upfront[],6,FALSE)</f>
        <v>South Bend</v>
      </c>
      <c r="X214">
        <v>3</v>
      </c>
    </row>
    <row r="215" spans="1:24" x14ac:dyDescent="0.45">
      <c r="A215" t="s">
        <v>149</v>
      </c>
      <c r="B215">
        <v>2</v>
      </c>
      <c r="C215">
        <v>25411.333333333328</v>
      </c>
      <c r="D215">
        <v>74959</v>
      </c>
      <c r="E215">
        <v>0.27965510034374347</v>
      </c>
      <c r="F215">
        <v>3.3033925212449473E-2</v>
      </c>
      <c r="G215">
        <v>0.15656934235159664</v>
      </c>
      <c r="H215">
        <v>0.46925836790778958</v>
      </c>
      <c r="I215">
        <v>11198.861999999996</v>
      </c>
      <c r="J215">
        <v>43244</v>
      </c>
      <c r="K215">
        <v>43608</v>
      </c>
      <c r="L215">
        <v>33392</v>
      </c>
      <c r="M215">
        <v>74959</v>
      </c>
      <c r="N215">
        <v>41567</v>
      </c>
      <c r="O215">
        <v>6927.833333333333</v>
      </c>
      <c r="P215">
        <v>11736.281333333332</v>
      </c>
      <c r="Q215">
        <v>1269.1300000000001</v>
      </c>
      <c r="R215">
        <v>2476.19</v>
      </c>
      <c r="S215">
        <v>14212.471333333333</v>
      </c>
      <c r="T215">
        <v>10481.333333333334</v>
      </c>
      <c r="U215">
        <v>20962.666666666668</v>
      </c>
      <c r="V215">
        <v>11198.861999999996</v>
      </c>
      <c r="W215" s="31" t="str">
        <f>VLOOKUP(vehicle_data[[#This Row],[Vehicle]],upfront[],6,FALSE)</f>
        <v>South Bend</v>
      </c>
    </row>
    <row r="216" spans="1:24" x14ac:dyDescent="0.45">
      <c r="A216" t="s">
        <v>149</v>
      </c>
      <c r="B216">
        <v>3</v>
      </c>
      <c r="C216">
        <v>14929.999999999995</v>
      </c>
      <c r="D216">
        <v>91191</v>
      </c>
      <c r="E216">
        <v>0.34481472952374687</v>
      </c>
      <c r="F216">
        <v>2.8524635106534638E-2</v>
      </c>
      <c r="G216">
        <v>0.15836666630113352</v>
      </c>
      <c r="H216">
        <v>0.531706030931415</v>
      </c>
      <c r="I216">
        <v>-2112.8046666666723</v>
      </c>
      <c r="J216">
        <v>43609</v>
      </c>
      <c r="K216">
        <v>43973</v>
      </c>
      <c r="L216">
        <v>74959</v>
      </c>
      <c r="M216">
        <v>91191</v>
      </c>
      <c r="N216">
        <v>16232</v>
      </c>
      <c r="O216">
        <v>2705.3333333333335</v>
      </c>
      <c r="P216">
        <v>14441.614666666666</v>
      </c>
      <c r="Q216">
        <v>125</v>
      </c>
      <c r="R216">
        <v>2601.19</v>
      </c>
      <c r="S216">
        <v>17042.804666666667</v>
      </c>
      <c r="T216">
        <v>10481.333333333334</v>
      </c>
      <c r="U216">
        <v>31444</v>
      </c>
      <c r="V216">
        <v>-2112.8046666666723</v>
      </c>
      <c r="W216" s="31" t="str">
        <f>VLOOKUP(vehicle_data[[#This Row],[Vehicle]],upfront[],6,FALSE)</f>
        <v>South Bend</v>
      </c>
    </row>
    <row r="217" spans="1:24" x14ac:dyDescent="0.45">
      <c r="A217" t="s">
        <v>150</v>
      </c>
      <c r="B217">
        <v>1</v>
      </c>
      <c r="C217">
        <v>36799.333333333336</v>
      </c>
      <c r="D217">
        <v>27954</v>
      </c>
      <c r="E217">
        <v>0.32963678424077647</v>
      </c>
      <c r="F217">
        <v>2.2460113042856118E-2</v>
      </c>
      <c r="G217">
        <v>0.14400000000000002</v>
      </c>
      <c r="H217">
        <v>0.4960968972836326</v>
      </c>
      <c r="I217">
        <v>32146.107333333333</v>
      </c>
      <c r="J217">
        <v>42888</v>
      </c>
      <c r="K217">
        <v>43252</v>
      </c>
      <c r="L217">
        <v>0</v>
      </c>
      <c r="M217">
        <v>27954</v>
      </c>
      <c r="N217">
        <v>27954</v>
      </c>
      <c r="O217">
        <v>4025.3760000000002</v>
      </c>
      <c r="P217">
        <v>4025.3760000000002</v>
      </c>
      <c r="Q217">
        <v>627.84999999999991</v>
      </c>
      <c r="R217">
        <v>627.84999999999991</v>
      </c>
      <c r="S217">
        <v>4653.2260000000006</v>
      </c>
      <c r="T217">
        <v>9214.6666666666661</v>
      </c>
      <c r="U217">
        <v>9214.6666666666661</v>
      </c>
      <c r="V217">
        <v>32146.107333333333</v>
      </c>
      <c r="W217" s="31" t="str">
        <f>VLOOKUP(vehicle_data[[#This Row],[Vehicle]],upfront[],6,FALSE)</f>
        <v>South Bend</v>
      </c>
      <c r="X217" t="s">
        <v>190</v>
      </c>
    </row>
    <row r="218" spans="1:24" x14ac:dyDescent="0.45">
      <c r="A218" t="s">
        <v>150</v>
      </c>
      <c r="B218">
        <v>2</v>
      </c>
      <c r="C218">
        <v>27584.666666666672</v>
      </c>
      <c r="D218">
        <v>52559</v>
      </c>
      <c r="E218">
        <v>0.35064086708904912</v>
      </c>
      <c r="F218">
        <v>4.9550219753039443E-2</v>
      </c>
      <c r="G218">
        <v>0.15461118615904665</v>
      </c>
      <c r="H218">
        <v>0.55480227300113527</v>
      </c>
      <c r="I218">
        <v>16854.147333333338</v>
      </c>
      <c r="J218">
        <v>43253</v>
      </c>
      <c r="K218">
        <v>43617</v>
      </c>
      <c r="L218">
        <v>27954</v>
      </c>
      <c r="M218">
        <v>52559</v>
      </c>
      <c r="N218">
        <v>24605</v>
      </c>
      <c r="O218">
        <v>4100.833333333333</v>
      </c>
      <c r="P218">
        <v>8126.2093333333332</v>
      </c>
      <c r="Q218">
        <v>1976.46</v>
      </c>
      <c r="R218">
        <v>2604.31</v>
      </c>
      <c r="S218">
        <v>10730.519333333334</v>
      </c>
      <c r="T218">
        <v>9214.6666666666661</v>
      </c>
      <c r="U218">
        <v>18429.333333333332</v>
      </c>
      <c r="V218">
        <v>16854.147333333338</v>
      </c>
      <c r="W218" s="31" t="str">
        <f>VLOOKUP(vehicle_data[[#This Row],[Vehicle]],upfront[],6,FALSE)</f>
        <v>South Bend</v>
      </c>
    </row>
    <row r="219" spans="1:24" x14ac:dyDescent="0.45">
      <c r="A219" t="s">
        <v>150</v>
      </c>
      <c r="B219">
        <v>3</v>
      </c>
      <c r="C219">
        <v>18370.000000000007</v>
      </c>
      <c r="D219">
        <v>66011</v>
      </c>
      <c r="E219">
        <v>0.4187786884004181</v>
      </c>
      <c r="F219">
        <v>4.1346290769720198E-2</v>
      </c>
      <c r="G219">
        <v>0.15706790282427674</v>
      </c>
      <c r="H219">
        <v>0.61719288199441502</v>
      </c>
      <c r="I219">
        <v>5272.4806666666755</v>
      </c>
      <c r="J219">
        <v>43618</v>
      </c>
      <c r="K219">
        <v>43982</v>
      </c>
      <c r="L219">
        <v>52559</v>
      </c>
      <c r="M219">
        <v>66011</v>
      </c>
      <c r="N219">
        <v>13452</v>
      </c>
      <c r="O219">
        <v>2242</v>
      </c>
      <c r="P219">
        <v>10368.209333333332</v>
      </c>
      <c r="Q219">
        <v>125</v>
      </c>
      <c r="R219">
        <v>2729.31</v>
      </c>
      <c r="S219">
        <v>13097.519333333332</v>
      </c>
      <c r="T219">
        <v>9214.6666666666661</v>
      </c>
      <c r="U219">
        <v>27644</v>
      </c>
      <c r="V219">
        <v>5272.4806666666755</v>
      </c>
      <c r="W219" s="31" t="str">
        <f>VLOOKUP(vehicle_data[[#This Row],[Vehicle]],upfront[],6,FALSE)</f>
        <v>South Bend</v>
      </c>
    </row>
    <row r="220" spans="1:24" x14ac:dyDescent="0.45">
      <c r="A220" t="s">
        <v>193</v>
      </c>
      <c r="B220">
        <v>1</v>
      </c>
      <c r="C220">
        <v>40733.199999999997</v>
      </c>
      <c r="D220">
        <v>3000</v>
      </c>
      <c r="E220">
        <v>1.7602666666666666</v>
      </c>
      <c r="F220">
        <v>4.1666666666666664E-2</v>
      </c>
      <c r="G220">
        <v>0.186</v>
      </c>
      <c r="H220">
        <v>1.9879333333333333</v>
      </c>
      <c r="I220">
        <v>40050.199999999997</v>
      </c>
      <c r="J220">
        <v>42005</v>
      </c>
      <c r="K220">
        <v>42369</v>
      </c>
      <c r="L220">
        <v>0</v>
      </c>
      <c r="M220">
        <v>3000</v>
      </c>
      <c r="N220">
        <v>3000</v>
      </c>
      <c r="O220">
        <v>558</v>
      </c>
      <c r="P220">
        <v>558</v>
      </c>
      <c r="Q220">
        <v>125</v>
      </c>
      <c r="R220">
        <v>125</v>
      </c>
      <c r="S220">
        <v>683</v>
      </c>
      <c r="T220">
        <v>5280.8</v>
      </c>
      <c r="U220">
        <v>5280.8</v>
      </c>
      <c r="V220">
        <v>40050.199999999997</v>
      </c>
      <c r="W220" s="31" t="str">
        <f>VLOOKUP(vehicle_data[[#This Row],[Vehicle]],upfront[],6,FALSE)</f>
        <v>South Bend</v>
      </c>
      <c r="X220" t="s">
        <v>190</v>
      </c>
    </row>
    <row r="221" spans="1:24" x14ac:dyDescent="0.45">
      <c r="A221" t="s">
        <v>193</v>
      </c>
      <c r="B221">
        <v>2</v>
      </c>
      <c r="C221">
        <v>35452.399999999994</v>
      </c>
      <c r="D221">
        <v>5000</v>
      </c>
      <c r="E221">
        <v>2.11232</v>
      </c>
      <c r="F221">
        <v>2.5000000000000001E-2</v>
      </c>
      <c r="G221">
        <v>0.18093333333333333</v>
      </c>
      <c r="H221">
        <v>2.3182533333333333</v>
      </c>
      <c r="I221">
        <v>34422.73333333333</v>
      </c>
      <c r="J221">
        <v>42370</v>
      </c>
      <c r="K221">
        <v>42734</v>
      </c>
      <c r="L221">
        <v>3000</v>
      </c>
      <c r="M221">
        <v>5000</v>
      </c>
      <c r="N221">
        <v>2000</v>
      </c>
      <c r="O221">
        <v>346.66666666666669</v>
      </c>
      <c r="P221">
        <v>904.66666666666674</v>
      </c>
      <c r="Q221">
        <v>0</v>
      </c>
      <c r="R221">
        <v>125</v>
      </c>
      <c r="S221">
        <v>1029.6666666666667</v>
      </c>
      <c r="T221">
        <v>5280.8</v>
      </c>
      <c r="U221">
        <v>10561.6</v>
      </c>
      <c r="V221">
        <v>34422.73333333333</v>
      </c>
      <c r="W221" s="31" t="str">
        <f>VLOOKUP(vehicle_data[[#This Row],[Vehicle]],upfront[],6,FALSE)</f>
        <v>South Bend</v>
      </c>
    </row>
    <row r="222" spans="1:24" x14ac:dyDescent="0.45">
      <c r="A222" t="s">
        <v>193</v>
      </c>
      <c r="B222">
        <v>3</v>
      </c>
      <c r="C222">
        <v>30171.599999999995</v>
      </c>
      <c r="D222">
        <v>19045</v>
      </c>
      <c r="E222">
        <v>0.83184037805198219</v>
      </c>
      <c r="F222">
        <v>1.9690207403517984E-2</v>
      </c>
      <c r="G222">
        <v>0.17532860768355649</v>
      </c>
      <c r="H222">
        <v>1.0268591931390567</v>
      </c>
      <c r="I222">
        <v>26457.46666666666</v>
      </c>
      <c r="J222">
        <v>42735</v>
      </c>
      <c r="K222">
        <v>43099</v>
      </c>
      <c r="L222">
        <v>5000</v>
      </c>
      <c r="M222">
        <v>19045</v>
      </c>
      <c r="N222">
        <v>14045</v>
      </c>
      <c r="O222">
        <v>2434.4666666666667</v>
      </c>
      <c r="P222">
        <v>3339.1333333333332</v>
      </c>
      <c r="Q222">
        <v>250</v>
      </c>
      <c r="R222">
        <v>375</v>
      </c>
      <c r="S222">
        <v>3714.1333333333332</v>
      </c>
      <c r="T222">
        <v>5280.8</v>
      </c>
      <c r="U222">
        <v>15842.400000000001</v>
      </c>
      <c r="V222">
        <v>26457.46666666666</v>
      </c>
      <c r="W222" s="31" t="str">
        <f>VLOOKUP(vehicle_data[[#This Row],[Vehicle]],upfront[],6,FALSE)</f>
        <v>South Bend</v>
      </c>
    </row>
    <row r="223" spans="1:24" x14ac:dyDescent="0.45">
      <c r="A223" t="s">
        <v>193</v>
      </c>
      <c r="B223">
        <v>4</v>
      </c>
      <c r="C223">
        <v>24890.799999999996</v>
      </c>
      <c r="D223">
        <v>29805</v>
      </c>
      <c r="E223">
        <v>0.7087133031370576</v>
      </c>
      <c r="F223">
        <v>3.6025499077336015E-2</v>
      </c>
      <c r="G223">
        <v>0.16401856511770957</v>
      </c>
      <c r="H223">
        <v>0.90875736733210322</v>
      </c>
      <c r="I223">
        <v>18928.486666666664</v>
      </c>
      <c r="J223">
        <v>43100</v>
      </c>
      <c r="K223">
        <v>43464</v>
      </c>
      <c r="L223">
        <v>19045</v>
      </c>
      <c r="M223">
        <v>29805</v>
      </c>
      <c r="N223">
        <v>10760</v>
      </c>
      <c r="O223">
        <v>1549.4400000000003</v>
      </c>
      <c r="P223">
        <v>4888.5733333333337</v>
      </c>
      <c r="Q223">
        <v>698.74</v>
      </c>
      <c r="R223">
        <v>1073.74</v>
      </c>
      <c r="S223">
        <v>5962.3133333333335</v>
      </c>
      <c r="T223">
        <v>5280.8</v>
      </c>
      <c r="U223">
        <v>21123.200000000001</v>
      </c>
      <c r="V223">
        <v>18928.486666666664</v>
      </c>
      <c r="W223" s="31" t="str">
        <f>VLOOKUP(vehicle_data[[#This Row],[Vehicle]],upfront[],6,FALSE)</f>
        <v>South Bend</v>
      </c>
    </row>
    <row r="224" spans="1:24" x14ac:dyDescent="0.45">
      <c r="A224" t="s">
        <v>193</v>
      </c>
      <c r="B224">
        <v>5</v>
      </c>
      <c r="C224">
        <v>19609.999999999996</v>
      </c>
      <c r="D224">
        <v>50865</v>
      </c>
      <c r="E224">
        <v>0.5190995773124939</v>
      </c>
      <c r="F224">
        <v>3.0939545856679445E-2</v>
      </c>
      <c r="G224">
        <v>0.16511497755496576</v>
      </c>
      <c r="H224">
        <v>0.7151541007241391</v>
      </c>
      <c r="I224">
        <v>9637.6866666666629</v>
      </c>
      <c r="J224">
        <v>43465</v>
      </c>
      <c r="K224">
        <v>43829</v>
      </c>
      <c r="L224">
        <v>29805</v>
      </c>
      <c r="M224">
        <v>50865</v>
      </c>
      <c r="N224">
        <v>21060</v>
      </c>
      <c r="O224">
        <v>3510</v>
      </c>
      <c r="P224">
        <v>8398.5733333333337</v>
      </c>
      <c r="Q224">
        <v>500</v>
      </c>
      <c r="R224">
        <v>1573.74</v>
      </c>
      <c r="S224">
        <v>9972.3133333333335</v>
      </c>
      <c r="T224">
        <v>5280.8</v>
      </c>
      <c r="U224">
        <v>26404</v>
      </c>
      <c r="V224">
        <v>9637.6866666666629</v>
      </c>
      <c r="W224" s="31" t="str">
        <f>VLOOKUP(vehicle_data[[#This Row],[Vehicle]],upfront[],6,FALSE)</f>
        <v>South Bend</v>
      </c>
    </row>
    <row r="225" spans="1:24" x14ac:dyDescent="0.45">
      <c r="A225" t="s">
        <v>108</v>
      </c>
      <c r="B225">
        <v>1</v>
      </c>
      <c r="C225">
        <v>39013.599999999999</v>
      </c>
      <c r="D225">
        <v>17000</v>
      </c>
      <c r="E225">
        <v>0.4043176470588235</v>
      </c>
      <c r="F225">
        <v>4.8882352941176464E-3</v>
      </c>
      <c r="G225">
        <v>0.19928571428571426</v>
      </c>
      <c r="H225">
        <v>0.60849159663865537</v>
      </c>
      <c r="I225">
        <v>35542.642857142855</v>
      </c>
      <c r="J225">
        <v>42082</v>
      </c>
      <c r="K225">
        <v>42446</v>
      </c>
      <c r="L225">
        <v>0</v>
      </c>
      <c r="M225">
        <v>17000</v>
      </c>
      <c r="N225">
        <v>17000</v>
      </c>
      <c r="O225">
        <v>3387.8571428571427</v>
      </c>
      <c r="P225">
        <v>3387.8571428571427</v>
      </c>
      <c r="Q225">
        <v>83.1</v>
      </c>
      <c r="R225">
        <v>83.1</v>
      </c>
      <c r="S225">
        <v>3470.9571428571426</v>
      </c>
      <c r="T225">
        <v>6873.4</v>
      </c>
      <c r="U225">
        <v>6873.4</v>
      </c>
      <c r="V225">
        <v>35542.642857142855</v>
      </c>
      <c r="W225" s="31" t="str">
        <f>VLOOKUP(vehicle_data[[#This Row],[Vehicle]],upfront[],6,FALSE)</f>
        <v>Delaware</v>
      </c>
      <c r="X225">
        <v>4</v>
      </c>
    </row>
    <row r="226" spans="1:24" x14ac:dyDescent="0.45">
      <c r="A226" t="s">
        <v>108</v>
      </c>
      <c r="B226">
        <v>2</v>
      </c>
      <c r="C226">
        <v>32140.199999999997</v>
      </c>
      <c r="D226">
        <v>31893</v>
      </c>
      <c r="E226">
        <v>0.43102875239080674</v>
      </c>
      <c r="F226">
        <v>9.2531276455648584E-3</v>
      </c>
      <c r="G226">
        <v>0.19294829586429624</v>
      </c>
      <c r="H226">
        <v>0.63323017590066777</v>
      </c>
      <c r="I226">
        <v>25691.39</v>
      </c>
      <c r="J226">
        <v>42447</v>
      </c>
      <c r="K226">
        <v>42811</v>
      </c>
      <c r="L226">
        <v>17000</v>
      </c>
      <c r="M226">
        <v>31893</v>
      </c>
      <c r="N226">
        <v>14893</v>
      </c>
      <c r="O226">
        <v>2765.8428571428572</v>
      </c>
      <c r="P226">
        <v>6153.7</v>
      </c>
      <c r="Q226">
        <v>212.01</v>
      </c>
      <c r="R226">
        <v>295.11</v>
      </c>
      <c r="S226">
        <v>6448.8099999999995</v>
      </c>
      <c r="T226">
        <v>6873.4</v>
      </c>
      <c r="U226">
        <v>13746.8</v>
      </c>
      <c r="V226">
        <v>25691.39</v>
      </c>
      <c r="W226" s="31" t="str">
        <f>VLOOKUP(vehicle_data[[#This Row],[Vehicle]],upfront[],6,FALSE)</f>
        <v>Delaware</v>
      </c>
    </row>
    <row r="227" spans="1:24" x14ac:dyDescent="0.45">
      <c r="A227" t="s">
        <v>108</v>
      </c>
      <c r="B227">
        <v>3</v>
      </c>
      <c r="C227">
        <v>25266.799999999996</v>
      </c>
      <c r="D227">
        <v>67639</v>
      </c>
      <c r="E227">
        <v>0.30485666553319823</v>
      </c>
      <c r="F227">
        <v>4.2664143467526137E-2</v>
      </c>
      <c r="G227">
        <v>0.17251581399572943</v>
      </c>
      <c r="H227">
        <v>0.52003662299645381</v>
      </c>
      <c r="I227">
        <v>10712.242857142852</v>
      </c>
      <c r="J227">
        <v>42812</v>
      </c>
      <c r="K227">
        <v>43176</v>
      </c>
      <c r="L227">
        <v>31893</v>
      </c>
      <c r="M227">
        <v>67639</v>
      </c>
      <c r="N227">
        <v>35746</v>
      </c>
      <c r="O227">
        <v>5515.0971428571429</v>
      </c>
      <c r="P227">
        <v>11668.797142857144</v>
      </c>
      <c r="Q227">
        <v>2590.65</v>
      </c>
      <c r="R227">
        <v>2885.76</v>
      </c>
      <c r="S227">
        <v>14554.557142857144</v>
      </c>
      <c r="T227">
        <v>6873.4</v>
      </c>
      <c r="U227">
        <v>20620.199999999997</v>
      </c>
      <c r="V227">
        <v>10712.242857142852</v>
      </c>
      <c r="W227" s="31" t="str">
        <f>VLOOKUP(vehicle_data[[#This Row],[Vehicle]],upfront[],6,FALSE)</f>
        <v>Delaware</v>
      </c>
    </row>
    <row r="228" spans="1:24" x14ac:dyDescent="0.45">
      <c r="A228" t="s">
        <v>108</v>
      </c>
      <c r="B228">
        <v>4</v>
      </c>
      <c r="C228">
        <v>18393.399999999994</v>
      </c>
      <c r="D228">
        <v>109675</v>
      </c>
      <c r="E228">
        <v>0.25068247093685891</v>
      </c>
      <c r="F228">
        <v>3.760601777980397E-2</v>
      </c>
      <c r="G228">
        <v>0.17483679703018656</v>
      </c>
      <c r="H228">
        <v>0.46312528574684947</v>
      </c>
      <c r="I228">
        <v>-4906.2657142857206</v>
      </c>
      <c r="J228">
        <v>43177</v>
      </c>
      <c r="K228">
        <v>43541</v>
      </c>
      <c r="L228">
        <v>67639</v>
      </c>
      <c r="M228">
        <v>109675</v>
      </c>
      <c r="N228">
        <v>42036</v>
      </c>
      <c r="O228">
        <v>7506.4285714285706</v>
      </c>
      <c r="P228">
        <v>19175.225714285712</v>
      </c>
      <c r="Q228">
        <v>1238.68</v>
      </c>
      <c r="R228">
        <v>4124.4400000000005</v>
      </c>
      <c r="S228">
        <v>23299.665714285715</v>
      </c>
      <c r="T228">
        <v>6873.4</v>
      </c>
      <c r="U228">
        <v>27493.599999999999</v>
      </c>
      <c r="V228">
        <v>-4906.2657142857206</v>
      </c>
      <c r="W228" s="31" t="str">
        <f>VLOOKUP(vehicle_data[[#This Row],[Vehicle]],upfront[],6,FALSE)</f>
        <v>Delaware</v>
      </c>
    </row>
    <row r="229" spans="1:24" x14ac:dyDescent="0.45">
      <c r="A229" t="s">
        <v>108</v>
      </c>
      <c r="B229">
        <v>5</v>
      </c>
      <c r="C229">
        <v>11519.999999999995</v>
      </c>
      <c r="D229">
        <v>140471</v>
      </c>
      <c r="E229">
        <v>0.24465548049063507</v>
      </c>
      <c r="F229">
        <v>3.9864598386855653E-2</v>
      </c>
      <c r="G229">
        <v>0.1756555547306663</v>
      </c>
      <c r="H229">
        <v>0.460175633608157</v>
      </c>
      <c r="I229">
        <v>-18754.33142857143</v>
      </c>
      <c r="J229">
        <v>43542</v>
      </c>
      <c r="K229">
        <v>43906</v>
      </c>
      <c r="L229">
        <v>109675</v>
      </c>
      <c r="M229">
        <v>140471</v>
      </c>
      <c r="N229">
        <v>30796</v>
      </c>
      <c r="O229">
        <v>5499.2857142857147</v>
      </c>
      <c r="P229">
        <v>24674.511428571426</v>
      </c>
      <c r="Q229">
        <v>1475.38</v>
      </c>
      <c r="R229">
        <v>5599.8200000000006</v>
      </c>
      <c r="S229">
        <v>30274.331428571426</v>
      </c>
      <c r="T229">
        <v>6873.4</v>
      </c>
      <c r="U229">
        <v>34367</v>
      </c>
      <c r="V229">
        <v>-18754.33142857143</v>
      </c>
      <c r="W229" s="31" t="str">
        <f>VLOOKUP(vehicle_data[[#This Row],[Vehicle]],upfront[],6,FALSE)</f>
        <v>Delaware</v>
      </c>
    </row>
    <row r="230" spans="1:24" x14ac:dyDescent="0.45">
      <c r="A230" t="s">
        <v>109</v>
      </c>
      <c r="B230">
        <v>1</v>
      </c>
      <c r="C230">
        <v>42343.199999999997</v>
      </c>
      <c r="D230">
        <v>79875</v>
      </c>
      <c r="E230">
        <v>0.10323380281690139</v>
      </c>
      <c r="F230">
        <v>1.3106103286384976E-2</v>
      </c>
      <c r="G230">
        <v>0.19928571428571429</v>
      </c>
      <c r="H230">
        <v>0.31562562038900066</v>
      </c>
      <c r="I230">
        <v>25378.403571428567</v>
      </c>
      <c r="J230">
        <v>42018</v>
      </c>
      <c r="K230">
        <v>42382</v>
      </c>
      <c r="L230">
        <v>0</v>
      </c>
      <c r="M230">
        <v>79875</v>
      </c>
      <c r="N230">
        <v>79875</v>
      </c>
      <c r="O230">
        <v>15917.946428571429</v>
      </c>
      <c r="P230">
        <v>15917.946428571429</v>
      </c>
      <c r="Q230">
        <v>1046.8499999999999</v>
      </c>
      <c r="R230">
        <v>1046.8499999999999</v>
      </c>
      <c r="S230">
        <v>16964.79642857143</v>
      </c>
      <c r="T230">
        <v>8245.7999999999993</v>
      </c>
      <c r="U230">
        <v>8245.7999999999993</v>
      </c>
      <c r="V230">
        <v>25378.403571428567</v>
      </c>
      <c r="W230" s="31" t="str">
        <f>VLOOKUP(vehicle_data[[#This Row],[Vehicle]],upfront[],6,FALSE)</f>
        <v>Delaware</v>
      </c>
      <c r="X230">
        <v>3</v>
      </c>
    </row>
    <row r="231" spans="1:24" x14ac:dyDescent="0.45">
      <c r="A231" t="s">
        <v>109</v>
      </c>
      <c r="B231">
        <v>2</v>
      </c>
      <c r="C231">
        <v>34097.399999999994</v>
      </c>
      <c r="D231">
        <v>108402</v>
      </c>
      <c r="E231">
        <v>0.15213372447002821</v>
      </c>
      <c r="F231">
        <v>2.3749469566982158E-2</v>
      </c>
      <c r="G231">
        <v>0.19571426594659561</v>
      </c>
      <c r="H231">
        <v>0.37159745998360594</v>
      </c>
      <c r="I231">
        <v>10307.092142857138</v>
      </c>
      <c r="J231">
        <v>42383</v>
      </c>
      <c r="K231">
        <v>42747</v>
      </c>
      <c r="L231">
        <v>79875</v>
      </c>
      <c r="M231">
        <v>108402</v>
      </c>
      <c r="N231">
        <v>28527</v>
      </c>
      <c r="O231">
        <v>5297.8714285714286</v>
      </c>
      <c r="P231">
        <v>21215.817857142858</v>
      </c>
      <c r="Q231">
        <v>1527.6399999999999</v>
      </c>
      <c r="R231">
        <v>2574.4899999999998</v>
      </c>
      <c r="S231">
        <v>23790.307857142856</v>
      </c>
      <c r="T231">
        <v>8245.7999999999993</v>
      </c>
      <c r="U231">
        <v>16491.599999999999</v>
      </c>
      <c r="V231">
        <v>10307.092142857138</v>
      </c>
      <c r="W231" s="31" t="str">
        <f>VLOOKUP(vehicle_data[[#This Row],[Vehicle]],upfront[],6,FALSE)</f>
        <v>Delaware</v>
      </c>
    </row>
    <row r="232" spans="1:24" x14ac:dyDescent="0.45">
      <c r="A232" t="s">
        <v>109</v>
      </c>
      <c r="B232">
        <v>3</v>
      </c>
      <c r="C232">
        <v>25851.599999999995</v>
      </c>
      <c r="D232">
        <v>131739</v>
      </c>
      <c r="E232">
        <v>0.18777582948101929</v>
      </c>
      <c r="F232">
        <v>2.3563940822383653E-2</v>
      </c>
      <c r="G232">
        <v>0.18837537533629808</v>
      </c>
      <c r="H232">
        <v>0.39971514563970101</v>
      </c>
      <c r="I232">
        <v>-2069.0735714285802</v>
      </c>
      <c r="J232">
        <v>42748</v>
      </c>
      <c r="K232">
        <v>43112</v>
      </c>
      <c r="L232">
        <v>108402</v>
      </c>
      <c r="M232">
        <v>131739</v>
      </c>
      <c r="N232">
        <v>23337</v>
      </c>
      <c r="O232">
        <v>3600.5657142857144</v>
      </c>
      <c r="P232">
        <v>24816.383571428574</v>
      </c>
      <c r="Q232">
        <v>529.80000000000007</v>
      </c>
      <c r="R232">
        <v>3104.29</v>
      </c>
      <c r="S232">
        <v>27920.673571428575</v>
      </c>
      <c r="T232">
        <v>8245.7999999999993</v>
      </c>
      <c r="U232">
        <v>24737.399999999998</v>
      </c>
      <c r="V232">
        <v>-2069.0735714285802</v>
      </c>
      <c r="W232" s="31" t="str">
        <f>VLOOKUP(vehicle_data[[#This Row],[Vehicle]],upfront[],6,FALSE)</f>
        <v>Delaware</v>
      </c>
    </row>
    <row r="233" spans="1:24" x14ac:dyDescent="0.45">
      <c r="A233" t="s">
        <v>109</v>
      </c>
      <c r="B233">
        <v>4</v>
      </c>
      <c r="C233">
        <v>17605.799999999996</v>
      </c>
      <c r="D233">
        <v>155223</v>
      </c>
      <c r="E233">
        <v>0.2124891285440946</v>
      </c>
      <c r="F233">
        <v>3.630776366904389E-2</v>
      </c>
      <c r="G233">
        <v>0.18689211650335324</v>
      </c>
      <c r="H233">
        <v>0.43568900871649174</v>
      </c>
      <c r="I233">
        <v>-17039.955000000009</v>
      </c>
      <c r="J233">
        <v>43113</v>
      </c>
      <c r="K233">
        <v>43477</v>
      </c>
      <c r="L233">
        <v>131739</v>
      </c>
      <c r="M233">
        <v>155223</v>
      </c>
      <c r="N233">
        <v>23484</v>
      </c>
      <c r="O233">
        <v>4193.5714285714284</v>
      </c>
      <c r="P233">
        <v>29009.955000000002</v>
      </c>
      <c r="Q233">
        <v>2531.5099999999998</v>
      </c>
      <c r="R233">
        <v>5635.7999999999993</v>
      </c>
      <c r="S233">
        <v>34645.755000000005</v>
      </c>
      <c r="T233">
        <v>8245.7999999999993</v>
      </c>
      <c r="U233">
        <v>32983.199999999997</v>
      </c>
      <c r="V233">
        <v>-17039.955000000009</v>
      </c>
      <c r="W233" s="31" t="str">
        <f>VLOOKUP(vehicle_data[[#This Row],[Vehicle]],upfront[],6,FALSE)</f>
        <v>Delaware</v>
      </c>
    </row>
    <row r="234" spans="1:24" x14ac:dyDescent="0.45">
      <c r="A234" t="s">
        <v>109</v>
      </c>
      <c r="B234">
        <v>5</v>
      </c>
      <c r="C234">
        <v>9359.9999999999964</v>
      </c>
      <c r="D234">
        <v>170890</v>
      </c>
      <c r="E234">
        <v>0.24126045994499384</v>
      </c>
      <c r="F234">
        <v>3.7214114342559536E-2</v>
      </c>
      <c r="G234">
        <v>0.18612928533810388</v>
      </c>
      <c r="H234">
        <v>0.46460385962565731</v>
      </c>
      <c r="I234">
        <v>-28807.153571428575</v>
      </c>
      <c r="J234">
        <v>43478</v>
      </c>
      <c r="K234">
        <v>43842</v>
      </c>
      <c r="L234">
        <v>155223</v>
      </c>
      <c r="M234">
        <v>170890</v>
      </c>
      <c r="N234">
        <v>15667</v>
      </c>
      <c r="O234">
        <v>2797.6785714285716</v>
      </c>
      <c r="P234">
        <v>31807.633571428574</v>
      </c>
      <c r="Q234">
        <v>723.72</v>
      </c>
      <c r="R234">
        <v>6359.5199999999995</v>
      </c>
      <c r="S234">
        <v>38167.153571428571</v>
      </c>
      <c r="T234">
        <v>8245.7999999999993</v>
      </c>
      <c r="U234">
        <v>41229</v>
      </c>
      <c r="V234">
        <v>-28807.153571428575</v>
      </c>
      <c r="W234" s="31" t="str">
        <f>VLOOKUP(vehicle_data[[#This Row],[Vehicle]],upfront[],6,FALSE)</f>
        <v>Delaware</v>
      </c>
    </row>
    <row r="235" spans="1:24" x14ac:dyDescent="0.45">
      <c r="A235" t="s">
        <v>109</v>
      </c>
      <c r="B235">
        <v>6</v>
      </c>
      <c r="C235">
        <v>9359.9999999999964</v>
      </c>
      <c r="D235">
        <v>186000</v>
      </c>
      <c r="E235">
        <v>0.22166129032258064</v>
      </c>
      <c r="F235">
        <v>3.4633924731182798E-2</v>
      </c>
      <c r="G235">
        <v>0.1884166167434716</v>
      </c>
      <c r="H235">
        <v>0.44471183179723506</v>
      </c>
      <c r="I235">
        <v>-32127.400714285719</v>
      </c>
      <c r="J235">
        <v>43843</v>
      </c>
      <c r="K235">
        <v>44207</v>
      </c>
      <c r="L235">
        <v>170890</v>
      </c>
      <c r="M235">
        <v>186000</v>
      </c>
      <c r="N235">
        <v>15110</v>
      </c>
      <c r="O235">
        <v>3237.8571428571427</v>
      </c>
      <c r="P235">
        <v>35045.490714285719</v>
      </c>
      <c r="Q235">
        <v>82.39</v>
      </c>
      <c r="R235">
        <v>6441.91</v>
      </c>
      <c r="S235">
        <v>41487.400714285715</v>
      </c>
      <c r="T235">
        <v>0</v>
      </c>
      <c r="U235">
        <v>41229</v>
      </c>
      <c r="V235">
        <v>-32127.400714285719</v>
      </c>
      <c r="W235" s="31" t="str">
        <f>VLOOKUP(vehicle_data[[#This Row],[Vehicle]],upfront[],6,FALSE)</f>
        <v>Delaware</v>
      </c>
    </row>
    <row r="236" spans="1:24" x14ac:dyDescent="0.45">
      <c r="A236" t="s">
        <v>110</v>
      </c>
      <c r="B236">
        <v>1</v>
      </c>
      <c r="C236">
        <v>39601.599999999999</v>
      </c>
      <c r="D236">
        <v>33897</v>
      </c>
      <c r="E236">
        <v>0.18542643891789834</v>
      </c>
      <c r="F236">
        <v>1.4087087352863084E-2</v>
      </c>
      <c r="G236">
        <v>0.174375</v>
      </c>
      <c r="H236">
        <v>0.37388852627076141</v>
      </c>
      <c r="I236">
        <v>33213.300624999996</v>
      </c>
      <c r="J236">
        <v>42139</v>
      </c>
      <c r="K236">
        <v>42503</v>
      </c>
      <c r="L236">
        <v>0</v>
      </c>
      <c r="M236">
        <v>33897</v>
      </c>
      <c r="N236">
        <v>33897</v>
      </c>
      <c r="O236">
        <v>5910.7893750000003</v>
      </c>
      <c r="P236">
        <v>5910.7893750000003</v>
      </c>
      <c r="Q236">
        <v>477.50999999999993</v>
      </c>
      <c r="R236">
        <v>477.50999999999993</v>
      </c>
      <c r="S236">
        <v>6388.2993750000005</v>
      </c>
      <c r="T236">
        <v>6285.4</v>
      </c>
      <c r="U236">
        <v>6285.4</v>
      </c>
      <c r="V236">
        <v>33213.300624999996</v>
      </c>
      <c r="W236" s="31" t="str">
        <f>VLOOKUP(vehicle_data[[#This Row],[Vehicle]],upfront[],6,FALSE)</f>
        <v>Delaware</v>
      </c>
      <c r="X236">
        <v>5</v>
      </c>
    </row>
    <row r="237" spans="1:24" x14ac:dyDescent="0.45">
      <c r="A237" t="s">
        <v>110</v>
      </c>
      <c r="B237">
        <v>2</v>
      </c>
      <c r="C237">
        <v>33316.199999999997</v>
      </c>
      <c r="D237">
        <v>62349</v>
      </c>
      <c r="E237">
        <v>0.20161991371152704</v>
      </c>
      <c r="F237">
        <v>2.5160146914946512E-2</v>
      </c>
      <c r="G237">
        <v>0.16895602776307561</v>
      </c>
      <c r="H237">
        <v>0.39573608838954916</v>
      </c>
      <c r="I237">
        <v>21213.250624999997</v>
      </c>
      <c r="J237">
        <v>42504</v>
      </c>
      <c r="K237">
        <v>42868</v>
      </c>
      <c r="L237">
        <v>33897</v>
      </c>
      <c r="M237">
        <v>62349</v>
      </c>
      <c r="N237">
        <v>28452</v>
      </c>
      <c r="O237">
        <v>4623.45</v>
      </c>
      <c r="P237">
        <v>10534.239375000001</v>
      </c>
      <c r="Q237">
        <v>1091.2</v>
      </c>
      <c r="R237">
        <v>1568.71</v>
      </c>
      <c r="S237">
        <v>12102.949375</v>
      </c>
      <c r="T237">
        <v>6285.4</v>
      </c>
      <c r="U237">
        <v>12570.8</v>
      </c>
      <c r="V237">
        <v>21213.250624999997</v>
      </c>
      <c r="W237" s="31" t="str">
        <f>VLOOKUP(vehicle_data[[#This Row],[Vehicle]],upfront[],6,FALSE)</f>
        <v>Delaware</v>
      </c>
    </row>
    <row r="238" spans="1:24" x14ac:dyDescent="0.45">
      <c r="A238" t="s">
        <v>110</v>
      </c>
      <c r="B238">
        <v>3</v>
      </c>
      <c r="C238">
        <v>27030.799999999996</v>
      </c>
      <c r="D238">
        <v>80693</v>
      </c>
      <c r="E238">
        <v>0.23367826205494896</v>
      </c>
      <c r="F238">
        <v>3.2032270457164815E-2</v>
      </c>
      <c r="G238">
        <v>0.1612367785929387</v>
      </c>
      <c r="H238">
        <v>0.42694731110505246</v>
      </c>
      <c r="I238">
        <v>11435.340624999993</v>
      </c>
      <c r="J238">
        <v>42869</v>
      </c>
      <c r="K238">
        <v>43233</v>
      </c>
      <c r="L238">
        <v>62349</v>
      </c>
      <c r="M238">
        <v>80693</v>
      </c>
      <c r="N238">
        <v>18344</v>
      </c>
      <c r="O238">
        <v>2476.44</v>
      </c>
      <c r="P238">
        <v>13010.679375000002</v>
      </c>
      <c r="Q238">
        <v>1016.07</v>
      </c>
      <c r="R238">
        <v>2584.7800000000002</v>
      </c>
      <c r="S238">
        <v>15595.459375000002</v>
      </c>
      <c r="T238">
        <v>6285.4</v>
      </c>
      <c r="U238">
        <v>18856.199999999997</v>
      </c>
      <c r="V238">
        <v>11435.340624999993</v>
      </c>
      <c r="W238" s="31" t="str">
        <f>VLOOKUP(vehicle_data[[#This Row],[Vehicle]],upfront[],6,FALSE)</f>
        <v>Delaware</v>
      </c>
    </row>
    <row r="239" spans="1:24" x14ac:dyDescent="0.45">
      <c r="A239" t="s">
        <v>110</v>
      </c>
      <c r="B239">
        <v>4</v>
      </c>
      <c r="C239">
        <v>20745.399999999994</v>
      </c>
      <c r="D239">
        <v>88224</v>
      </c>
      <c r="E239">
        <v>0.28497461008342401</v>
      </c>
      <c r="F239">
        <v>3.0040011788175554E-2</v>
      </c>
      <c r="G239">
        <v>0.16081109590360901</v>
      </c>
      <c r="H239">
        <v>0.47582571777520855</v>
      </c>
      <c r="I239">
        <v>3907.7518749999945</v>
      </c>
      <c r="J239">
        <v>43234</v>
      </c>
      <c r="K239">
        <v>43598</v>
      </c>
      <c r="L239">
        <v>80693</v>
      </c>
      <c r="M239">
        <v>88224</v>
      </c>
      <c r="N239">
        <v>7531</v>
      </c>
      <c r="O239">
        <v>1176.71875</v>
      </c>
      <c r="P239">
        <v>14187.398125000002</v>
      </c>
      <c r="Q239">
        <v>65.47</v>
      </c>
      <c r="R239">
        <v>2650.25</v>
      </c>
      <c r="S239">
        <v>16837.648125</v>
      </c>
      <c r="T239">
        <v>6285.4</v>
      </c>
      <c r="U239">
        <v>25141.599999999999</v>
      </c>
      <c r="V239">
        <v>3907.7518749999945</v>
      </c>
      <c r="W239" s="31" t="str">
        <f>VLOOKUP(vehicle_data[[#This Row],[Vehicle]],upfront[],6,FALSE)</f>
        <v>Delaware</v>
      </c>
    </row>
    <row r="240" spans="1:24" x14ac:dyDescent="0.45">
      <c r="A240" t="s">
        <v>110</v>
      </c>
      <c r="B240">
        <v>5</v>
      </c>
      <c r="C240">
        <v>14459.999999999995</v>
      </c>
      <c r="D240">
        <v>120244</v>
      </c>
      <c r="E240">
        <v>0.26136023419047938</v>
      </c>
      <c r="F240">
        <v>2.8741143009214595E-2</v>
      </c>
      <c r="G240">
        <v>0.15959651313163234</v>
      </c>
      <c r="H240">
        <v>0.44969789033132634</v>
      </c>
      <c r="I240">
        <v>-8186.4731250000059</v>
      </c>
      <c r="J240">
        <v>43599</v>
      </c>
      <c r="K240">
        <v>43963</v>
      </c>
      <c r="L240">
        <v>88224</v>
      </c>
      <c r="M240">
        <v>120244</v>
      </c>
      <c r="N240">
        <v>32020</v>
      </c>
      <c r="O240">
        <v>5003.125</v>
      </c>
      <c r="P240">
        <v>19190.523125</v>
      </c>
      <c r="Q240">
        <v>805.69999999999993</v>
      </c>
      <c r="R240">
        <v>3455.95</v>
      </c>
      <c r="S240">
        <v>22646.473125</v>
      </c>
      <c r="T240">
        <v>6285.4</v>
      </c>
      <c r="U240">
        <v>31427</v>
      </c>
      <c r="V240">
        <v>-8186.4731250000059</v>
      </c>
      <c r="W240" s="31" t="str">
        <f>VLOOKUP(vehicle_data[[#This Row],[Vehicle]],upfront[],6,FALSE)</f>
        <v>Delaware</v>
      </c>
    </row>
    <row r="241" spans="1:24" x14ac:dyDescent="0.45">
      <c r="A241" t="s">
        <v>111</v>
      </c>
      <c r="B241">
        <v>1</v>
      </c>
      <c r="C241">
        <v>39204.800000000003</v>
      </c>
      <c r="D241">
        <v>32541</v>
      </c>
      <c r="E241">
        <v>0.20424080390891491</v>
      </c>
      <c r="F241">
        <v>1.384960511354906E-2</v>
      </c>
      <c r="G241">
        <v>0.174375</v>
      </c>
      <c r="H241">
        <v>0.39246540902246396</v>
      </c>
      <c r="I241">
        <v>33079.783125000002</v>
      </c>
      <c r="J241">
        <v>42150</v>
      </c>
      <c r="K241">
        <v>42514</v>
      </c>
      <c r="L241">
        <v>0</v>
      </c>
      <c r="M241">
        <v>32541</v>
      </c>
      <c r="N241">
        <v>32541</v>
      </c>
      <c r="O241">
        <v>5674.336875</v>
      </c>
      <c r="P241">
        <v>5674.336875</v>
      </c>
      <c r="Q241">
        <v>450.67999999999995</v>
      </c>
      <c r="R241">
        <v>450.67999999999995</v>
      </c>
      <c r="S241">
        <v>6125.0168750000003</v>
      </c>
      <c r="T241">
        <v>6646.2</v>
      </c>
      <c r="U241">
        <v>6646.2</v>
      </c>
      <c r="V241">
        <v>33079.783125000002</v>
      </c>
      <c r="W241" s="31" t="str">
        <f>VLOOKUP(vehicle_data[[#This Row],[Vehicle]],upfront[],6,FALSE)</f>
        <v>Delaware</v>
      </c>
      <c r="X241">
        <v>4</v>
      </c>
    </row>
    <row r="242" spans="1:24" x14ac:dyDescent="0.45">
      <c r="A242" t="s">
        <v>111</v>
      </c>
      <c r="B242">
        <v>2</v>
      </c>
      <c r="C242">
        <v>32558.600000000002</v>
      </c>
      <c r="D242">
        <v>65870</v>
      </c>
      <c r="E242">
        <v>0.20179747988462121</v>
      </c>
      <c r="F242">
        <v>2.8774859571884016E-2</v>
      </c>
      <c r="G242">
        <v>0.16836646994079249</v>
      </c>
      <c r="H242">
        <v>0.39893880939729776</v>
      </c>
      <c r="I242">
        <v>19572.900625000002</v>
      </c>
      <c r="J242">
        <v>42515</v>
      </c>
      <c r="K242">
        <v>42879</v>
      </c>
      <c r="L242">
        <v>32541</v>
      </c>
      <c r="M242">
        <v>65870</v>
      </c>
      <c r="N242">
        <v>33329</v>
      </c>
      <c r="O242">
        <v>5415.9625000000005</v>
      </c>
      <c r="P242">
        <v>11090.299375000001</v>
      </c>
      <c r="Q242">
        <v>1444.72</v>
      </c>
      <c r="R242">
        <v>1895.4</v>
      </c>
      <c r="S242">
        <v>12985.699375</v>
      </c>
      <c r="T242">
        <v>6646.2</v>
      </c>
      <c r="U242">
        <v>13292.4</v>
      </c>
      <c r="V242">
        <v>19572.900625000002</v>
      </c>
      <c r="W242" s="31" t="str">
        <f>VLOOKUP(vehicle_data[[#This Row],[Vehicle]],upfront[],6,FALSE)</f>
        <v>Delaware</v>
      </c>
    </row>
    <row r="243" spans="1:24" x14ac:dyDescent="0.45">
      <c r="A243" t="s">
        <v>111</v>
      </c>
      <c r="B243">
        <v>3</v>
      </c>
      <c r="C243">
        <v>25912.400000000001</v>
      </c>
      <c r="D243">
        <v>90500</v>
      </c>
      <c r="E243">
        <v>0.22031602209944751</v>
      </c>
      <c r="F243">
        <v>3.8248950276243095E-2</v>
      </c>
      <c r="G243">
        <v>0.1592856284530387</v>
      </c>
      <c r="H243">
        <v>0.41785060082872927</v>
      </c>
      <c r="I243">
        <v>8035.520625000001</v>
      </c>
      <c r="J243">
        <v>42880</v>
      </c>
      <c r="K243">
        <v>43244</v>
      </c>
      <c r="L243">
        <v>65870</v>
      </c>
      <c r="M243">
        <v>90500</v>
      </c>
      <c r="N243">
        <v>24630</v>
      </c>
      <c r="O243">
        <v>3325.05</v>
      </c>
      <c r="P243">
        <v>14415.349375000002</v>
      </c>
      <c r="Q243">
        <v>1566.13</v>
      </c>
      <c r="R243">
        <v>3461.53</v>
      </c>
      <c r="S243">
        <v>17876.879375</v>
      </c>
      <c r="T243">
        <v>6646.2</v>
      </c>
      <c r="U243">
        <v>19938.599999999999</v>
      </c>
      <c r="V243">
        <v>8035.520625000001</v>
      </c>
      <c r="W243" s="31" t="str">
        <f>VLOOKUP(vehicle_data[[#This Row],[Vehicle]],upfront[],6,FALSE)</f>
        <v>Delaware</v>
      </c>
    </row>
    <row r="244" spans="1:24" x14ac:dyDescent="0.45">
      <c r="A244" t="s">
        <v>111</v>
      </c>
      <c r="B244">
        <v>4</v>
      </c>
      <c r="C244">
        <v>19266.2</v>
      </c>
      <c r="D244">
        <v>127000</v>
      </c>
      <c r="E244">
        <v>0.20932913385826771</v>
      </c>
      <c r="F244">
        <v>5.0668818897637802E-2</v>
      </c>
      <c r="G244">
        <v>0.15841318405511812</v>
      </c>
      <c r="H244">
        <v>0.41841113681102365</v>
      </c>
      <c r="I244">
        <v>-7287.2143749999996</v>
      </c>
      <c r="J244">
        <v>43245</v>
      </c>
      <c r="K244">
        <v>43609</v>
      </c>
      <c r="L244">
        <v>90500</v>
      </c>
      <c r="M244">
        <v>127000</v>
      </c>
      <c r="N244">
        <v>36500</v>
      </c>
      <c r="O244">
        <v>5703.125</v>
      </c>
      <c r="P244">
        <v>20118.474375000002</v>
      </c>
      <c r="Q244">
        <v>2973.41</v>
      </c>
      <c r="R244">
        <v>6434.9400000000005</v>
      </c>
      <c r="S244">
        <v>26553.414375</v>
      </c>
      <c r="T244">
        <v>6646.2</v>
      </c>
      <c r="U244">
        <v>26584.799999999999</v>
      </c>
      <c r="V244">
        <v>-7287.2143749999996</v>
      </c>
      <c r="W244" s="31" t="str">
        <f>VLOOKUP(vehicle_data[[#This Row],[Vehicle]],upfront[],6,FALSE)</f>
        <v>Delaware</v>
      </c>
    </row>
    <row r="245" spans="1:24" x14ac:dyDescent="0.45">
      <c r="A245" t="s">
        <v>111</v>
      </c>
      <c r="B245">
        <v>5</v>
      </c>
      <c r="C245">
        <v>12620</v>
      </c>
      <c r="D245">
        <v>141644</v>
      </c>
      <c r="E245">
        <v>0.23460930219423343</v>
      </c>
      <c r="F245">
        <v>6.7937858292620945E-2</v>
      </c>
      <c r="G245">
        <v>0.15818954120894638</v>
      </c>
      <c r="H245">
        <v>0.46073670169580072</v>
      </c>
      <c r="I245">
        <v>-19409.589375000003</v>
      </c>
      <c r="J245">
        <v>43610</v>
      </c>
      <c r="K245">
        <v>43974</v>
      </c>
      <c r="L245">
        <v>127000</v>
      </c>
      <c r="M245">
        <v>141644</v>
      </c>
      <c r="N245">
        <v>14644</v>
      </c>
      <c r="O245">
        <v>2288.125</v>
      </c>
      <c r="P245">
        <v>22406.599375000002</v>
      </c>
      <c r="Q245">
        <v>3188.05</v>
      </c>
      <c r="R245">
        <v>9622.9900000000016</v>
      </c>
      <c r="S245">
        <v>32029.589375000003</v>
      </c>
      <c r="T245">
        <v>6646.2</v>
      </c>
      <c r="U245">
        <v>33231</v>
      </c>
      <c r="V245">
        <v>-19409.589375000003</v>
      </c>
      <c r="W245" s="31" t="str">
        <f>VLOOKUP(vehicle_data[[#This Row],[Vehicle]],upfront[],6,FALSE)</f>
        <v>Delaware</v>
      </c>
    </row>
    <row r="246" spans="1:24" x14ac:dyDescent="0.45">
      <c r="A246" t="s">
        <v>112</v>
      </c>
      <c r="B246">
        <v>1</v>
      </c>
      <c r="C246">
        <v>42471.199999999997</v>
      </c>
      <c r="D246">
        <v>76661</v>
      </c>
      <c r="E246">
        <v>0.10589217463899506</v>
      </c>
      <c r="F246">
        <v>2.4317449550618959E-3</v>
      </c>
      <c r="G246">
        <v>0.17285714285714288</v>
      </c>
      <c r="H246">
        <v>0.28118106245119984</v>
      </c>
      <c r="I246">
        <v>29033.37857142857</v>
      </c>
      <c r="J246">
        <v>41787</v>
      </c>
      <c r="K246">
        <v>42151</v>
      </c>
      <c r="L246">
        <v>0</v>
      </c>
      <c r="M246">
        <v>76661</v>
      </c>
      <c r="N246">
        <v>76661</v>
      </c>
      <c r="O246">
        <v>13251.401428571429</v>
      </c>
      <c r="P246">
        <v>13251.401428571429</v>
      </c>
      <c r="Q246">
        <v>186.42</v>
      </c>
      <c r="R246">
        <v>186.42</v>
      </c>
      <c r="S246">
        <v>13437.821428571429</v>
      </c>
      <c r="T246">
        <v>8117.8</v>
      </c>
      <c r="U246">
        <v>8117.8</v>
      </c>
      <c r="V246">
        <v>29033.37857142857</v>
      </c>
      <c r="W246" s="31" t="str">
        <f>VLOOKUP(vehicle_data[[#This Row],[Vehicle]],upfront[],6,FALSE)</f>
        <v>Delaware</v>
      </c>
      <c r="X246">
        <v>4</v>
      </c>
    </row>
    <row r="247" spans="1:24" x14ac:dyDescent="0.45">
      <c r="A247" t="s">
        <v>112</v>
      </c>
      <c r="B247">
        <v>2</v>
      </c>
      <c r="C247">
        <v>34353.399999999994</v>
      </c>
      <c r="D247">
        <v>93771</v>
      </c>
      <c r="E247">
        <v>0.17314094976058697</v>
      </c>
      <c r="F247">
        <v>1.6274434526666028E-2</v>
      </c>
      <c r="G247">
        <v>0.17767945313583092</v>
      </c>
      <c r="H247">
        <v>0.36709483742308391</v>
      </c>
      <c r="I247">
        <v>16166.149999999994</v>
      </c>
      <c r="J247">
        <v>42152</v>
      </c>
      <c r="K247">
        <v>42516</v>
      </c>
      <c r="L247">
        <v>76661</v>
      </c>
      <c r="M247">
        <v>93771</v>
      </c>
      <c r="N247">
        <v>17110</v>
      </c>
      <c r="O247">
        <v>3409.7785714285715</v>
      </c>
      <c r="P247">
        <v>16661.18</v>
      </c>
      <c r="Q247">
        <v>1339.65</v>
      </c>
      <c r="R247">
        <v>1526.0700000000002</v>
      </c>
      <c r="S247">
        <v>18187.25</v>
      </c>
      <c r="T247">
        <v>8117.8</v>
      </c>
      <c r="U247">
        <v>16235.6</v>
      </c>
      <c r="V247">
        <v>16166.149999999994</v>
      </c>
      <c r="W247" s="31" t="str">
        <f>VLOOKUP(vehicle_data[[#This Row],[Vehicle]],upfront[],6,FALSE)</f>
        <v>Delaware</v>
      </c>
    </row>
    <row r="248" spans="1:24" x14ac:dyDescent="0.45">
      <c r="A248" t="s">
        <v>112</v>
      </c>
      <c r="B248">
        <v>3</v>
      </c>
      <c r="C248">
        <v>26235.599999999995</v>
      </c>
      <c r="D248">
        <v>113484</v>
      </c>
      <c r="E248">
        <v>0.21459765253251561</v>
      </c>
      <c r="F248">
        <v>1.8741144126044201E-2</v>
      </c>
      <c r="G248">
        <v>0.17907516226327688</v>
      </c>
      <c r="H248">
        <v>0.41241395892183669</v>
      </c>
      <c r="I248">
        <v>3786.6142857142804</v>
      </c>
      <c r="J248">
        <v>42517</v>
      </c>
      <c r="K248">
        <v>42881</v>
      </c>
      <c r="L248">
        <v>93771</v>
      </c>
      <c r="M248">
        <v>113484</v>
      </c>
      <c r="N248">
        <v>19713</v>
      </c>
      <c r="O248">
        <v>3660.9857142857145</v>
      </c>
      <c r="P248">
        <v>20322.165714285715</v>
      </c>
      <c r="Q248">
        <v>600.75</v>
      </c>
      <c r="R248">
        <v>2126.8200000000002</v>
      </c>
      <c r="S248">
        <v>22448.985714285714</v>
      </c>
      <c r="T248">
        <v>8117.8</v>
      </c>
      <c r="U248">
        <v>24353.4</v>
      </c>
      <c r="V248">
        <v>3786.6142857142804</v>
      </c>
      <c r="W248" s="31" t="str">
        <f>VLOOKUP(vehicle_data[[#This Row],[Vehicle]],upfront[],6,FALSE)</f>
        <v>Delaware</v>
      </c>
    </row>
    <row r="249" spans="1:24" x14ac:dyDescent="0.45">
      <c r="A249" t="s">
        <v>112</v>
      </c>
      <c r="B249">
        <v>4</v>
      </c>
      <c r="C249">
        <v>18117.799999999996</v>
      </c>
      <c r="D249">
        <v>134991</v>
      </c>
      <c r="E249">
        <v>0.24054344363698321</v>
      </c>
      <c r="F249">
        <v>2.8806216710743678E-2</v>
      </c>
      <c r="G249">
        <v>0.17512566446228692</v>
      </c>
      <c r="H249">
        <v>0.44447532481001384</v>
      </c>
      <c r="I249">
        <v>-9411.1685714285777</v>
      </c>
      <c r="J249">
        <v>42882</v>
      </c>
      <c r="K249">
        <v>43246</v>
      </c>
      <c r="L249">
        <v>113484</v>
      </c>
      <c r="M249">
        <v>134991</v>
      </c>
      <c r="N249">
        <v>21507</v>
      </c>
      <c r="O249">
        <v>3318.2228571428577</v>
      </c>
      <c r="P249">
        <v>23640.388571428572</v>
      </c>
      <c r="Q249">
        <v>1761.7599999999998</v>
      </c>
      <c r="R249">
        <v>3888.58</v>
      </c>
      <c r="S249">
        <v>27528.968571428573</v>
      </c>
      <c r="T249">
        <v>8117.8</v>
      </c>
      <c r="U249">
        <v>32471.200000000001</v>
      </c>
      <c r="V249">
        <v>-9411.1685714285777</v>
      </c>
      <c r="W249" s="31" t="str">
        <f>VLOOKUP(vehicle_data[[#This Row],[Vehicle]],upfront[],6,FALSE)</f>
        <v>Delaware</v>
      </c>
    </row>
    <row r="250" spans="1:24" x14ac:dyDescent="0.45">
      <c r="A250" t="s">
        <v>112</v>
      </c>
      <c r="B250">
        <v>5</v>
      </c>
      <c r="C250">
        <v>9999.9999999999964</v>
      </c>
      <c r="D250">
        <v>144988</v>
      </c>
      <c r="E250">
        <v>0.27994730598394352</v>
      </c>
      <c r="F250">
        <v>3.1719590586807185E-2</v>
      </c>
      <c r="G250">
        <v>0.17536325173708958</v>
      </c>
      <c r="H250">
        <v>0.4870301483078403</v>
      </c>
      <c r="I250">
        <v>-20024.527142857147</v>
      </c>
      <c r="J250">
        <v>43247</v>
      </c>
      <c r="K250">
        <v>43611</v>
      </c>
      <c r="L250">
        <v>134991</v>
      </c>
      <c r="M250">
        <v>144988</v>
      </c>
      <c r="N250">
        <v>9997</v>
      </c>
      <c r="O250">
        <v>1785.1785714285713</v>
      </c>
      <c r="P250">
        <v>25425.567142857144</v>
      </c>
      <c r="Q250">
        <v>710.38</v>
      </c>
      <c r="R250">
        <v>4598.96</v>
      </c>
      <c r="S250">
        <v>30024.527142857143</v>
      </c>
      <c r="T250">
        <v>8117.8</v>
      </c>
      <c r="U250">
        <v>40589</v>
      </c>
      <c r="V250">
        <v>-20024.527142857147</v>
      </c>
      <c r="W250" s="31" t="str">
        <f>VLOOKUP(vehicle_data[[#This Row],[Vehicle]],upfront[],6,FALSE)</f>
        <v>Delaware</v>
      </c>
    </row>
    <row r="251" spans="1:24" x14ac:dyDescent="0.45">
      <c r="A251" t="s">
        <v>112</v>
      </c>
      <c r="B251">
        <v>6</v>
      </c>
      <c r="C251">
        <v>9999.9999999999964</v>
      </c>
      <c r="D251">
        <v>182316</v>
      </c>
      <c r="E251">
        <v>0.22262993922639812</v>
      </c>
      <c r="F251">
        <v>4.1869556155246936E-2</v>
      </c>
      <c r="G251">
        <v>0.17602010481017261</v>
      </c>
      <c r="H251">
        <v>0.44051960019181768</v>
      </c>
      <c r="I251">
        <v>-29724.771428571436</v>
      </c>
      <c r="J251">
        <v>43612</v>
      </c>
      <c r="K251">
        <v>43976</v>
      </c>
      <c r="L251">
        <v>144988</v>
      </c>
      <c r="M251">
        <v>182316</v>
      </c>
      <c r="N251">
        <v>37328</v>
      </c>
      <c r="O251">
        <v>6665.7142857142853</v>
      </c>
      <c r="P251">
        <v>32091.28142857143</v>
      </c>
      <c r="Q251">
        <v>3034.5299999999997</v>
      </c>
      <c r="R251">
        <v>7633.49</v>
      </c>
      <c r="S251">
        <v>39724.771428571432</v>
      </c>
      <c r="T251">
        <v>0</v>
      </c>
      <c r="U251">
        <v>40589</v>
      </c>
      <c r="V251">
        <v>-29724.771428571436</v>
      </c>
      <c r="W251" s="31" t="str">
        <f>VLOOKUP(vehicle_data[[#This Row],[Vehicle]],upfront[],6,FALSE)</f>
        <v>Delaware</v>
      </c>
    </row>
    <row r="252" spans="1:24" x14ac:dyDescent="0.45">
      <c r="A252" t="s">
        <v>112</v>
      </c>
      <c r="B252">
        <v>7</v>
      </c>
      <c r="C252">
        <v>9999.9999999999964</v>
      </c>
      <c r="D252">
        <v>196961</v>
      </c>
      <c r="E252">
        <v>0.20607632983179411</v>
      </c>
      <c r="F252">
        <v>4.0452119962835278E-2</v>
      </c>
      <c r="G252">
        <v>0.17886533737280841</v>
      </c>
      <c r="H252">
        <v>0.42539378716743781</v>
      </c>
      <c r="I252">
        <v>-33196.985714285722</v>
      </c>
      <c r="J252">
        <v>43977</v>
      </c>
      <c r="K252">
        <v>44341</v>
      </c>
      <c r="L252">
        <v>182316</v>
      </c>
      <c r="M252">
        <v>196961</v>
      </c>
      <c r="N252">
        <v>14645</v>
      </c>
      <c r="O252">
        <v>3138.2142857142862</v>
      </c>
      <c r="P252">
        <v>35229.495714285717</v>
      </c>
      <c r="Q252">
        <v>334</v>
      </c>
      <c r="R252">
        <v>7967.49</v>
      </c>
      <c r="S252">
        <v>43196.985714285714</v>
      </c>
      <c r="T252">
        <v>0</v>
      </c>
      <c r="U252">
        <v>40589</v>
      </c>
      <c r="V252">
        <v>-33196.985714285722</v>
      </c>
      <c r="W252" s="31" t="str">
        <f>VLOOKUP(vehicle_data[[#This Row],[Vehicle]],upfront[],6,FALSE)</f>
        <v>Delaware</v>
      </c>
    </row>
    <row r="253" spans="1:24" x14ac:dyDescent="0.45">
      <c r="A253" t="s">
        <v>114</v>
      </c>
      <c r="B253">
        <v>1</v>
      </c>
      <c r="C253">
        <v>27690</v>
      </c>
      <c r="D253">
        <v>41095</v>
      </c>
      <c r="E253">
        <v>0.39267550796933931</v>
      </c>
      <c r="F253">
        <v>3.4329967149288231E-2</v>
      </c>
      <c r="G253">
        <v>0.16666666666666666</v>
      </c>
      <c r="H253">
        <v>0.59367214178529415</v>
      </c>
      <c r="I253">
        <v>19430.043333333335</v>
      </c>
      <c r="J253">
        <v>43817</v>
      </c>
      <c r="K253">
        <v>44181</v>
      </c>
      <c r="L253">
        <v>0</v>
      </c>
      <c r="M253">
        <v>41095</v>
      </c>
      <c r="N253">
        <v>41095</v>
      </c>
      <c r="O253">
        <v>6849.1666666666661</v>
      </c>
      <c r="P253">
        <v>6849.1666666666661</v>
      </c>
      <c r="Q253">
        <v>1410.79</v>
      </c>
      <c r="R253">
        <v>1410.79</v>
      </c>
      <c r="S253">
        <v>8259.9566666666651</v>
      </c>
      <c r="T253">
        <v>16137</v>
      </c>
      <c r="U253">
        <v>16137</v>
      </c>
      <c r="V253">
        <v>19430.043333333335</v>
      </c>
      <c r="W253" s="31" t="str">
        <f>VLOOKUP(vehicle_data[[#This Row],[Vehicle]],upfront[],6,FALSE)</f>
        <v>Delaware</v>
      </c>
      <c r="X253" t="s">
        <v>190</v>
      </c>
    </row>
    <row r="254" spans="1:24" x14ac:dyDescent="0.45">
      <c r="A254" t="s">
        <v>115</v>
      </c>
      <c r="B254">
        <v>1</v>
      </c>
      <c r="C254">
        <v>26350</v>
      </c>
      <c r="D254">
        <v>37000</v>
      </c>
      <c r="E254">
        <v>0.47235135135135137</v>
      </c>
      <c r="F254">
        <v>8.4527027027027028E-3</v>
      </c>
      <c r="G254">
        <v>0.16666666666666666</v>
      </c>
      <c r="H254">
        <v>0.64747072072072076</v>
      </c>
      <c r="I254">
        <v>19870.583333333336</v>
      </c>
      <c r="J254">
        <v>43728</v>
      </c>
      <c r="K254">
        <v>44092</v>
      </c>
      <c r="L254">
        <v>0</v>
      </c>
      <c r="M254">
        <v>37000</v>
      </c>
      <c r="N254">
        <v>37000</v>
      </c>
      <c r="O254">
        <v>6166.6666666666661</v>
      </c>
      <c r="P254">
        <v>6166.6666666666661</v>
      </c>
      <c r="Q254">
        <v>312.75</v>
      </c>
      <c r="R254">
        <v>312.75</v>
      </c>
      <c r="S254">
        <v>6479.4166666666661</v>
      </c>
      <c r="T254">
        <v>17477</v>
      </c>
      <c r="U254">
        <v>17477</v>
      </c>
      <c r="V254">
        <v>19870.583333333336</v>
      </c>
      <c r="W254" s="31" t="str">
        <f>VLOOKUP(vehicle_data[[#This Row],[Vehicle]],upfront[],6,FALSE)</f>
        <v>Delaware</v>
      </c>
      <c r="X254" t="s">
        <v>190</v>
      </c>
    </row>
    <row r="255" spans="1:24" x14ac:dyDescent="0.45">
      <c r="A255" t="s">
        <v>140</v>
      </c>
      <c r="B255">
        <v>1</v>
      </c>
      <c r="C255">
        <v>35991</v>
      </c>
      <c r="D255">
        <v>13000</v>
      </c>
      <c r="E255">
        <v>0.5908461538461538</v>
      </c>
      <c r="F255">
        <v>0</v>
      </c>
      <c r="G255">
        <v>0.16666666666666666</v>
      </c>
      <c r="H255">
        <v>0.75751282051282043</v>
      </c>
      <c r="I255">
        <v>33824.333333333336</v>
      </c>
      <c r="J255">
        <v>43696</v>
      </c>
      <c r="K255">
        <v>44060</v>
      </c>
      <c r="L255">
        <v>0</v>
      </c>
      <c r="M255">
        <v>13000</v>
      </c>
      <c r="N255">
        <v>13000</v>
      </c>
      <c r="O255">
        <v>2166.6666666666665</v>
      </c>
      <c r="P255">
        <v>2166.6666666666665</v>
      </c>
      <c r="Q255">
        <v>0</v>
      </c>
      <c r="R255">
        <v>0</v>
      </c>
      <c r="S255">
        <v>2166.6666666666665</v>
      </c>
      <c r="T255">
        <v>7681</v>
      </c>
      <c r="U255">
        <v>7681</v>
      </c>
      <c r="V255">
        <v>33824.333333333336</v>
      </c>
      <c r="W255" s="31" t="str">
        <f>VLOOKUP(vehicle_data[[#This Row],[Vehicle]],upfront[],6,FALSE)</f>
        <v>Redford</v>
      </c>
      <c r="X255" t="s">
        <v>190</v>
      </c>
    </row>
    <row r="256" spans="1:24" x14ac:dyDescent="0.45">
      <c r="A256" t="s">
        <v>140</v>
      </c>
      <c r="B256">
        <v>2</v>
      </c>
      <c r="C256">
        <v>28310</v>
      </c>
      <c r="D256">
        <v>26540</v>
      </c>
      <c r="E256">
        <v>0.57882441597588541</v>
      </c>
      <c r="F256">
        <v>3.0139412207987942E-3</v>
      </c>
      <c r="G256">
        <v>0.18367244410952019</v>
      </c>
      <c r="H256">
        <v>0.76551080130620441</v>
      </c>
      <c r="I256">
        <v>23355.343333333334</v>
      </c>
      <c r="J256">
        <v>44061</v>
      </c>
      <c r="K256">
        <v>44425</v>
      </c>
      <c r="L256">
        <v>13000</v>
      </c>
      <c r="M256">
        <v>26540</v>
      </c>
      <c r="N256">
        <v>13540</v>
      </c>
      <c r="O256">
        <v>2708</v>
      </c>
      <c r="P256">
        <v>4874.6666666666661</v>
      </c>
      <c r="Q256">
        <v>79.989999999999995</v>
      </c>
      <c r="R256">
        <v>79.989999999999995</v>
      </c>
      <c r="S256">
        <v>4954.6566666666658</v>
      </c>
      <c r="T256">
        <v>7681</v>
      </c>
      <c r="U256">
        <v>15362</v>
      </c>
      <c r="V256">
        <v>23355.343333333334</v>
      </c>
      <c r="W256" s="31" t="str">
        <f>VLOOKUP(vehicle_data[[#This Row],[Vehicle]],upfront[],6,FALSE)</f>
        <v>Redford</v>
      </c>
    </row>
    <row r="257" spans="1:24" x14ac:dyDescent="0.45">
      <c r="A257" t="s">
        <v>142</v>
      </c>
      <c r="B257">
        <v>1</v>
      </c>
      <c r="C257">
        <v>28720</v>
      </c>
      <c r="D257">
        <v>18293</v>
      </c>
      <c r="E257">
        <v>0.82583501885967314</v>
      </c>
      <c r="F257">
        <v>1.7493030120811239E-2</v>
      </c>
      <c r="G257">
        <v>0.16666666666666666</v>
      </c>
      <c r="H257">
        <v>1.0099947156471512</v>
      </c>
      <c r="I257">
        <v>25351.166666666668</v>
      </c>
      <c r="J257">
        <v>43827</v>
      </c>
      <c r="K257">
        <v>44191</v>
      </c>
      <c r="L257">
        <v>0</v>
      </c>
      <c r="M257">
        <v>18293</v>
      </c>
      <c r="N257">
        <v>18293</v>
      </c>
      <c r="O257">
        <v>3048.833333333333</v>
      </c>
      <c r="P257">
        <v>3048.833333333333</v>
      </c>
      <c r="Q257">
        <v>320</v>
      </c>
      <c r="R257">
        <v>320</v>
      </c>
      <c r="S257">
        <v>3368.833333333333</v>
      </c>
      <c r="T257">
        <v>15107</v>
      </c>
      <c r="U257">
        <v>15107</v>
      </c>
      <c r="V257">
        <v>25351.166666666668</v>
      </c>
      <c r="W257" s="31" t="str">
        <f>VLOOKUP(vehicle_data[[#This Row],[Vehicle]],upfront[],6,FALSE)</f>
        <v>Redford</v>
      </c>
      <c r="X257" t="s">
        <v>190</v>
      </c>
    </row>
    <row r="258" spans="1:24" x14ac:dyDescent="0.45">
      <c r="W258" s="31" t="e">
        <f>VLOOKUP(vehicle_data[[#This Row],[Vehicle]],upfront[],6,FALSE)</f>
        <v>#N/A</v>
      </c>
    </row>
    <row r="259" spans="1:24" x14ac:dyDescent="0.45">
      <c r="W259" s="31" t="e">
        <f>VLOOKUP(vehicle_data[[#This Row],[Vehicle]],upfront[],6,FALSE)</f>
        <v>#N/A</v>
      </c>
    </row>
    <row r="260" spans="1:24" x14ac:dyDescent="0.45">
      <c r="W260" s="31" t="e">
        <f>VLOOKUP(vehicle_data[[#This Row],[Vehicle]],upfront[],6,FALSE)</f>
        <v>#N/A</v>
      </c>
    </row>
    <row r="261" spans="1:24" x14ac:dyDescent="0.45">
      <c r="W261" s="31" t="e">
        <f>VLOOKUP(vehicle_data[[#This Row],[Vehicle]],upfront[],6,FALSE)</f>
        <v>#N/A</v>
      </c>
    </row>
    <row r="262" spans="1:24" x14ac:dyDescent="0.45">
      <c r="W262" s="31" t="e">
        <f>VLOOKUP(vehicle_data[[#This Row],[Vehicle]],upfront[],6,FALSE)</f>
        <v>#N/A</v>
      </c>
    </row>
    <row r="263" spans="1:24" x14ac:dyDescent="0.45">
      <c r="A263" t="s">
        <v>143</v>
      </c>
      <c r="B263">
        <v>1</v>
      </c>
      <c r="C263">
        <v>35580</v>
      </c>
      <c r="D263">
        <v>6123</v>
      </c>
      <c r="E263">
        <v>1.403233708966193</v>
      </c>
      <c r="F263">
        <v>6.0182916870814958E-2</v>
      </c>
      <c r="G263">
        <v>0.19999999999999998</v>
      </c>
      <c r="H263">
        <v>1.663416625837008</v>
      </c>
      <c r="I263">
        <v>33986.9</v>
      </c>
      <c r="J263">
        <v>43910</v>
      </c>
      <c r="K263">
        <v>44274</v>
      </c>
      <c r="L263">
        <v>0</v>
      </c>
      <c r="M263">
        <v>6123</v>
      </c>
      <c r="N263">
        <v>6123</v>
      </c>
      <c r="O263">
        <v>1224.5999999999999</v>
      </c>
      <c r="P263">
        <v>1224.5999999999999</v>
      </c>
      <c r="Q263">
        <v>368.5</v>
      </c>
      <c r="R263">
        <v>368.5</v>
      </c>
      <c r="S263">
        <v>1593.1</v>
      </c>
      <c r="T263">
        <v>8592</v>
      </c>
      <c r="U263">
        <v>8592</v>
      </c>
      <c r="V263">
        <v>33986.9</v>
      </c>
      <c r="W263" s="31" t="str">
        <f>VLOOKUP(vehicle_data[[#This Row],[Vehicle]],upfront[],6,FALSE)</f>
        <v>Redford</v>
      </c>
      <c r="X263" t="s">
        <v>190</v>
      </c>
    </row>
    <row r="264" spans="1:24" x14ac:dyDescent="0.45">
      <c r="A264" t="s">
        <v>141</v>
      </c>
      <c r="B264">
        <v>1</v>
      </c>
      <c r="C264">
        <v>37509.5</v>
      </c>
      <c r="D264">
        <v>10102</v>
      </c>
      <c r="E264">
        <v>0.89383290437537122</v>
      </c>
      <c r="F264">
        <v>7.9192239160562269E-3</v>
      </c>
      <c r="G264">
        <v>0.16666666666666669</v>
      </c>
      <c r="H264">
        <v>1.0684187949580941</v>
      </c>
      <c r="I264">
        <v>35745.833333333336</v>
      </c>
      <c r="J264">
        <v>43689</v>
      </c>
      <c r="K264">
        <v>44053</v>
      </c>
      <c r="L264">
        <v>0</v>
      </c>
      <c r="M264">
        <v>10102</v>
      </c>
      <c r="N264">
        <v>10102</v>
      </c>
      <c r="O264">
        <v>1683.6666666666667</v>
      </c>
      <c r="P264">
        <v>1683.6666666666667</v>
      </c>
      <c r="Q264">
        <v>80</v>
      </c>
      <c r="R264">
        <v>80</v>
      </c>
      <c r="S264">
        <v>1763.6666666666667</v>
      </c>
      <c r="T264">
        <v>9029.5</v>
      </c>
      <c r="U264">
        <v>9029.5</v>
      </c>
      <c r="V264">
        <v>35745.833333333336</v>
      </c>
      <c r="W264" s="31" t="str">
        <f>VLOOKUP(vehicle_data[[#This Row],[Vehicle]],upfront[],6,FALSE)</f>
        <v>Redford</v>
      </c>
      <c r="X264" t="s">
        <v>190</v>
      </c>
    </row>
    <row r="265" spans="1:24" x14ac:dyDescent="0.45">
      <c r="A265" t="s">
        <v>141</v>
      </c>
      <c r="B265">
        <v>2</v>
      </c>
      <c r="C265">
        <v>28480</v>
      </c>
      <c r="D265">
        <v>27448</v>
      </c>
      <c r="E265">
        <v>0.65793500437190322</v>
      </c>
      <c r="F265">
        <v>8.7438064704167887E-3</v>
      </c>
      <c r="G265">
        <v>0.18773195375497911</v>
      </c>
      <c r="H265">
        <v>0.85441076459729914</v>
      </c>
      <c r="I265">
        <v>23087.133333333331</v>
      </c>
      <c r="J265">
        <v>44054</v>
      </c>
      <c r="K265">
        <v>44418</v>
      </c>
      <c r="L265">
        <v>10102</v>
      </c>
      <c r="M265">
        <v>27448</v>
      </c>
      <c r="N265">
        <v>17346</v>
      </c>
      <c r="O265">
        <v>3469.2000000000003</v>
      </c>
      <c r="P265">
        <v>5152.8666666666668</v>
      </c>
      <c r="Q265">
        <v>160</v>
      </c>
      <c r="R265">
        <v>240</v>
      </c>
      <c r="S265">
        <v>5392.8666666666668</v>
      </c>
      <c r="T265">
        <v>9029.5</v>
      </c>
      <c r="U265">
        <v>18059</v>
      </c>
      <c r="V265">
        <v>23087.133333333331</v>
      </c>
      <c r="W265" s="31" t="str">
        <f>VLOOKUP(vehicle_data[[#This Row],[Vehicle]],upfront[],6,FALSE)</f>
        <v>Redford</v>
      </c>
    </row>
    <row r="268" spans="1:24" x14ac:dyDescent="0.45">
      <c r="A268" t="s">
        <v>107</v>
      </c>
      <c r="B268">
        <v>1</v>
      </c>
      <c r="C268">
        <v>33190</v>
      </c>
      <c r="D268">
        <v>28835</v>
      </c>
      <c r="E268">
        <v>0.44015952835096239</v>
      </c>
      <c r="F268">
        <v>1.3663950060690133E-2</v>
      </c>
      <c r="G268">
        <v>0.2</v>
      </c>
      <c r="H268">
        <v>0.65382347841165256</v>
      </c>
      <c r="I268">
        <v>27029</v>
      </c>
      <c r="J268">
        <v>43999</v>
      </c>
      <c r="K268">
        <v>44363</v>
      </c>
      <c r="L268">
        <v>0</v>
      </c>
      <c r="M268">
        <v>28835</v>
      </c>
      <c r="N268">
        <v>28835</v>
      </c>
      <c r="O268">
        <v>5767</v>
      </c>
      <c r="P268">
        <v>5767</v>
      </c>
      <c r="Q268">
        <v>394</v>
      </c>
      <c r="R268">
        <v>394</v>
      </c>
      <c r="S268">
        <v>6161</v>
      </c>
      <c r="T268">
        <v>12692</v>
      </c>
      <c r="U268">
        <v>12692</v>
      </c>
      <c r="V268">
        <v>27029</v>
      </c>
      <c r="W268" s="31" t="str">
        <f>VLOOKUP(vehicle_data[[#This Row],[Vehicle]],upfront[],6,FALSE)</f>
        <v>Austin</v>
      </c>
      <c r="X268" t="s">
        <v>190</v>
      </c>
    </row>
    <row r="269" spans="1:24" x14ac:dyDescent="0.45">
      <c r="A269" t="s">
        <v>113</v>
      </c>
      <c r="B269">
        <v>1</v>
      </c>
      <c r="C269">
        <v>42940.800000000003</v>
      </c>
      <c r="D269">
        <v>34999</v>
      </c>
      <c r="E269">
        <v>0.23529815137575361</v>
      </c>
      <c r="F269">
        <v>1.4688133946684188E-2</v>
      </c>
      <c r="G269">
        <v>0.186</v>
      </c>
      <c r="H269">
        <v>0.43598628532243777</v>
      </c>
      <c r="I269">
        <v>35916.916000000005</v>
      </c>
      <c r="J269">
        <v>42082</v>
      </c>
      <c r="K269">
        <v>42446</v>
      </c>
      <c r="L269">
        <v>0</v>
      </c>
      <c r="M269">
        <v>34999</v>
      </c>
      <c r="N269">
        <v>34999</v>
      </c>
      <c r="O269">
        <v>6509.8140000000003</v>
      </c>
      <c r="P269">
        <v>6509.8140000000003</v>
      </c>
      <c r="Q269">
        <v>514.06999999999994</v>
      </c>
      <c r="R269">
        <v>514.06999999999994</v>
      </c>
      <c r="S269">
        <v>7023.884</v>
      </c>
      <c r="T269">
        <v>8235.2000000000007</v>
      </c>
      <c r="U269">
        <v>8235.2000000000007</v>
      </c>
      <c r="V269">
        <v>35916.916000000005</v>
      </c>
      <c r="W269" s="31" t="str">
        <f>VLOOKUP(vehicle_data[[#This Row],[Vehicle]],upfront[],6,FALSE)</f>
        <v>Delaware</v>
      </c>
      <c r="X269">
        <v>4</v>
      </c>
    </row>
    <row r="270" spans="1:24" x14ac:dyDescent="0.45">
      <c r="A270" t="s">
        <v>113</v>
      </c>
      <c r="B270">
        <v>2</v>
      </c>
      <c r="C270">
        <v>34705.600000000006</v>
      </c>
      <c r="D270">
        <v>66846</v>
      </c>
      <c r="E270">
        <v>0.24639320228585107</v>
      </c>
      <c r="F270">
        <v>7.1845136582592825E-2</v>
      </c>
      <c r="G270">
        <v>0.17996530333403143</v>
      </c>
      <c r="H270">
        <v>0.49820364220247532</v>
      </c>
      <c r="I270">
        <v>17873.079333333339</v>
      </c>
      <c r="J270">
        <v>42447</v>
      </c>
      <c r="K270">
        <v>42811</v>
      </c>
      <c r="L270">
        <v>41905</v>
      </c>
      <c r="M270">
        <v>73752</v>
      </c>
      <c r="N270">
        <v>31847</v>
      </c>
      <c r="O270">
        <v>5520.1466666666665</v>
      </c>
      <c r="P270">
        <v>12029.960666666666</v>
      </c>
      <c r="Q270">
        <v>4288.4900000000007</v>
      </c>
      <c r="R270">
        <v>4802.5600000000004</v>
      </c>
      <c r="S270">
        <v>16832.520666666667</v>
      </c>
      <c r="T270">
        <v>8235.2000000000007</v>
      </c>
      <c r="U270">
        <v>16470.400000000001</v>
      </c>
      <c r="V270">
        <v>17873.079333333339</v>
      </c>
      <c r="W270" s="31" t="str">
        <f>VLOOKUP(vehicle_data[[#This Row],[Vehicle]],upfront[],6,FALSE)</f>
        <v>Delaware</v>
      </c>
    </row>
    <row r="271" spans="1:24" x14ac:dyDescent="0.45">
      <c r="A271" t="s">
        <v>113</v>
      </c>
      <c r="B271">
        <v>3</v>
      </c>
      <c r="C271">
        <v>26470.400000000005</v>
      </c>
      <c r="D271">
        <v>90039</v>
      </c>
      <c r="E271">
        <v>0.27438776530170261</v>
      </c>
      <c r="F271">
        <v>7.313319783649308E-2</v>
      </c>
      <c r="G271">
        <v>0.17070105917065567</v>
      </c>
      <c r="H271">
        <v>0.51822202230885139</v>
      </c>
      <c r="I271">
        <v>4515.8073333333377</v>
      </c>
      <c r="J271">
        <v>42812</v>
      </c>
      <c r="K271">
        <v>43176</v>
      </c>
      <c r="L271">
        <v>73752</v>
      </c>
      <c r="M271">
        <v>96945</v>
      </c>
      <c r="N271">
        <v>23193</v>
      </c>
      <c r="O271">
        <v>3339.7920000000004</v>
      </c>
      <c r="P271">
        <v>15369.752666666667</v>
      </c>
      <c r="Q271">
        <v>1782.2800000000002</v>
      </c>
      <c r="R271">
        <v>6584.84</v>
      </c>
      <c r="S271">
        <v>21954.592666666667</v>
      </c>
      <c r="T271">
        <v>8235.2000000000007</v>
      </c>
      <c r="U271">
        <v>24705.600000000002</v>
      </c>
      <c r="V271">
        <v>4515.8073333333377</v>
      </c>
      <c r="W271" s="31" t="str">
        <f>VLOOKUP(vehicle_data[[#This Row],[Vehicle]],upfront[],6,FALSE)</f>
        <v>Delaware</v>
      </c>
    </row>
    <row r="272" spans="1:24" x14ac:dyDescent="0.45">
      <c r="A272" t="s">
        <v>113</v>
      </c>
      <c r="B272">
        <v>4</v>
      </c>
      <c r="C272">
        <v>18235.200000000004</v>
      </c>
      <c r="D272">
        <v>110402</v>
      </c>
      <c r="E272">
        <v>0.298371406315103</v>
      </c>
      <c r="F272">
        <v>6.8870129164326735E-2</v>
      </c>
      <c r="G272">
        <v>0.16995693918588431</v>
      </c>
      <c r="H272">
        <v>0.53719847466531401</v>
      </c>
      <c r="I272">
        <v>-8131.7859999999964</v>
      </c>
      <c r="J272">
        <v>43177</v>
      </c>
      <c r="K272">
        <v>43541</v>
      </c>
      <c r="L272">
        <v>96945</v>
      </c>
      <c r="M272">
        <v>117308</v>
      </c>
      <c r="N272">
        <v>20363</v>
      </c>
      <c r="O272">
        <v>3393.833333333333</v>
      </c>
      <c r="P272">
        <v>18763.585999999999</v>
      </c>
      <c r="Q272">
        <v>1018.5600000000001</v>
      </c>
      <c r="R272">
        <v>7603.4000000000005</v>
      </c>
      <c r="S272">
        <v>26366.986000000001</v>
      </c>
      <c r="T272">
        <v>8235.2000000000007</v>
      </c>
      <c r="U272">
        <v>32940.800000000003</v>
      </c>
      <c r="V272">
        <v>-8131.7859999999964</v>
      </c>
      <c r="W272" s="31" t="str">
        <f>VLOOKUP(vehicle_data[[#This Row],[Vehicle]],upfront[],6,FALSE)</f>
        <v>Delaware</v>
      </c>
    </row>
    <row r="273" spans="1:24" x14ac:dyDescent="0.45">
      <c r="A273" t="s">
        <v>113</v>
      </c>
      <c r="B273">
        <v>5</v>
      </c>
      <c r="C273">
        <v>10000.000000000004</v>
      </c>
      <c r="D273">
        <v>145053</v>
      </c>
      <c r="E273">
        <v>0.28386865490544838</v>
      </c>
      <c r="F273">
        <v>7.1937222946095572E-2</v>
      </c>
      <c r="G273">
        <v>0.1691709421154107</v>
      </c>
      <c r="H273">
        <v>0.52497681996695467</v>
      </c>
      <c r="I273">
        <v>-24973.462666666663</v>
      </c>
      <c r="J273">
        <v>43542</v>
      </c>
      <c r="K273">
        <v>43906</v>
      </c>
      <c r="L273">
        <v>117308</v>
      </c>
      <c r="M273">
        <v>151959</v>
      </c>
      <c r="N273">
        <v>34651</v>
      </c>
      <c r="O273">
        <v>5775.1666666666661</v>
      </c>
      <c r="P273">
        <v>24538.752666666667</v>
      </c>
      <c r="Q273">
        <v>2831.31</v>
      </c>
      <c r="R273">
        <v>10434.710000000001</v>
      </c>
      <c r="S273">
        <v>34973.462666666666</v>
      </c>
      <c r="T273">
        <v>8235.2000000000007</v>
      </c>
      <c r="U273">
        <v>41176</v>
      </c>
      <c r="V273">
        <v>-24973.462666666663</v>
      </c>
      <c r="W273" s="31" t="str">
        <f>VLOOKUP(vehicle_data[[#This Row],[Vehicle]],upfront[],6,FALSE)</f>
        <v>Delaware</v>
      </c>
    </row>
    <row r="274" spans="1:24" x14ac:dyDescent="0.45">
      <c r="A274" t="s">
        <v>113</v>
      </c>
      <c r="B274">
        <v>6</v>
      </c>
      <c r="C274">
        <v>10000.000000000004</v>
      </c>
      <c r="D274">
        <v>164757</v>
      </c>
      <c r="E274">
        <v>0.24991957853080599</v>
      </c>
      <c r="F274">
        <v>6.8805756356330849E-2</v>
      </c>
      <c r="G274">
        <v>0.17285792207109055</v>
      </c>
      <c r="H274">
        <v>0.49158325695822735</v>
      </c>
      <c r="I274">
        <v>-29815.782666666662</v>
      </c>
      <c r="J274">
        <v>43907</v>
      </c>
      <c r="K274">
        <v>44271</v>
      </c>
      <c r="L274">
        <v>151959</v>
      </c>
      <c r="M274">
        <v>171663</v>
      </c>
      <c r="N274">
        <v>19704</v>
      </c>
      <c r="O274">
        <v>3940.7999999999997</v>
      </c>
      <c r="P274">
        <v>28479.552666666666</v>
      </c>
      <c r="Q274">
        <v>901.52</v>
      </c>
      <c r="R274">
        <v>11336.230000000001</v>
      </c>
      <c r="S274">
        <v>39815.782666666666</v>
      </c>
      <c r="T274">
        <v>0</v>
      </c>
      <c r="U274">
        <v>41176</v>
      </c>
      <c r="V274">
        <v>-29815.782666666662</v>
      </c>
      <c r="W274" s="31" t="str">
        <f>VLOOKUP(vehicle_data[[#This Row],[Vehicle]],upfront[],6,FALSE)</f>
        <v>Delaware</v>
      </c>
    </row>
    <row r="275" spans="1:24" x14ac:dyDescent="0.45">
      <c r="A275" t="s">
        <v>122</v>
      </c>
      <c r="B275">
        <v>1</v>
      </c>
      <c r="C275">
        <v>35111</v>
      </c>
      <c r="D275">
        <v>32000</v>
      </c>
      <c r="E275">
        <v>0.26753125</v>
      </c>
      <c r="F275">
        <v>1.6190625000000001E-3</v>
      </c>
      <c r="G275">
        <v>0.16666666666666669</v>
      </c>
      <c r="H275">
        <v>0.43581697916666667</v>
      </c>
      <c r="I275">
        <v>29725.856666666667</v>
      </c>
      <c r="J275">
        <v>43816</v>
      </c>
      <c r="K275">
        <v>44180</v>
      </c>
      <c r="L275">
        <v>0</v>
      </c>
      <c r="M275">
        <v>32000</v>
      </c>
      <c r="N275">
        <v>32000</v>
      </c>
      <c r="O275">
        <v>5333.3333333333339</v>
      </c>
      <c r="P275">
        <v>5333.3333333333339</v>
      </c>
      <c r="Q275">
        <v>51.81</v>
      </c>
      <c r="R275">
        <v>51.81</v>
      </c>
      <c r="S275">
        <v>5385.1433333333343</v>
      </c>
      <c r="T275">
        <v>8561</v>
      </c>
      <c r="U275">
        <v>8561</v>
      </c>
      <c r="V275">
        <v>29725.856666666667</v>
      </c>
      <c r="W275" s="31" t="str">
        <f>VLOOKUP(vehicle_data[[#This Row],[Vehicle]],upfront[],6,FALSE)</f>
        <v>Grand Rapids</v>
      </c>
      <c r="X275" t="s">
        <v>190</v>
      </c>
    </row>
    <row r="276" spans="1:24" x14ac:dyDescent="0.45">
      <c r="A276" t="s">
        <v>122</v>
      </c>
      <c r="B276">
        <v>2</v>
      </c>
      <c r="C276">
        <v>26550</v>
      </c>
      <c r="D276">
        <v>37834</v>
      </c>
      <c r="E276">
        <v>0.45255590209864144</v>
      </c>
      <c r="F276">
        <v>1.4255960247396521E-2</v>
      </c>
      <c r="G276">
        <v>0.1718066641997498</v>
      </c>
      <c r="H276">
        <v>0.63861852654578777</v>
      </c>
      <c r="I276">
        <v>19510.506666666668</v>
      </c>
      <c r="J276">
        <v>44181</v>
      </c>
      <c r="K276">
        <v>44545</v>
      </c>
      <c r="L276">
        <v>32000</v>
      </c>
      <c r="M276">
        <v>37834</v>
      </c>
      <c r="N276">
        <v>5834</v>
      </c>
      <c r="O276">
        <v>1166.8</v>
      </c>
      <c r="P276">
        <v>6500.1333333333341</v>
      </c>
      <c r="Q276">
        <v>487.55</v>
      </c>
      <c r="R276">
        <v>539.36</v>
      </c>
      <c r="S276">
        <v>7039.4933333333338</v>
      </c>
      <c r="T276">
        <v>8561</v>
      </c>
      <c r="U276">
        <v>17122</v>
      </c>
      <c r="V276">
        <v>19510.506666666668</v>
      </c>
      <c r="W276" s="31" t="str">
        <f>VLOOKUP(vehicle_data[[#This Row],[Vehicle]],upfront[],6,FALSE)</f>
        <v>Grand Rapids</v>
      </c>
    </row>
    <row r="277" spans="1:24" x14ac:dyDescent="0.45">
      <c r="A277" t="s">
        <v>144</v>
      </c>
      <c r="B277">
        <v>1</v>
      </c>
      <c r="C277">
        <v>39501</v>
      </c>
      <c r="D277">
        <v>25</v>
      </c>
      <c r="E277">
        <v>186.84</v>
      </c>
      <c r="F277">
        <v>0</v>
      </c>
      <c r="G277">
        <v>0.2</v>
      </c>
      <c r="H277">
        <v>187.04</v>
      </c>
      <c r="I277">
        <v>39496</v>
      </c>
      <c r="J277">
        <v>43906</v>
      </c>
      <c r="K277">
        <v>44270</v>
      </c>
      <c r="L277">
        <v>0</v>
      </c>
      <c r="M277">
        <v>25</v>
      </c>
      <c r="N277">
        <v>25</v>
      </c>
      <c r="O277">
        <v>5</v>
      </c>
      <c r="P277">
        <v>5</v>
      </c>
      <c r="Q277">
        <v>0</v>
      </c>
      <c r="R277">
        <v>0</v>
      </c>
      <c r="S277">
        <v>5</v>
      </c>
      <c r="T277">
        <v>4671</v>
      </c>
      <c r="U277">
        <v>4671</v>
      </c>
      <c r="V277">
        <v>39496</v>
      </c>
      <c r="W277" s="31" t="str">
        <f>VLOOKUP(vehicle_data[[#This Row],[Vehicle]],upfront[],6,FALSE)</f>
        <v>Redford</v>
      </c>
      <c r="X277" t="s">
        <v>190</v>
      </c>
    </row>
    <row r="278" spans="1:24" x14ac:dyDescent="0.45">
      <c r="A278" t="s">
        <v>144</v>
      </c>
      <c r="B278">
        <v>2</v>
      </c>
      <c r="C278">
        <v>34830</v>
      </c>
      <c r="D278">
        <v>7871</v>
      </c>
      <c r="E278">
        <v>1.1868885783254988</v>
      </c>
      <c r="F278">
        <v>1.1323847033413798E-2</v>
      </c>
      <c r="G278">
        <v>0.20000000000000004</v>
      </c>
      <c r="H278">
        <v>1.3982124253589125</v>
      </c>
      <c r="I278">
        <v>33166.67</v>
      </c>
      <c r="J278">
        <v>44271</v>
      </c>
      <c r="K278">
        <v>44635</v>
      </c>
      <c r="L278">
        <v>25</v>
      </c>
      <c r="M278">
        <v>7871</v>
      </c>
      <c r="N278">
        <v>7846</v>
      </c>
      <c r="O278">
        <v>1569.2000000000003</v>
      </c>
      <c r="P278">
        <v>1574.2000000000003</v>
      </c>
      <c r="Q278">
        <v>89.13</v>
      </c>
      <c r="R278">
        <v>89.13</v>
      </c>
      <c r="S278">
        <v>1663.3300000000004</v>
      </c>
      <c r="T278">
        <v>4671</v>
      </c>
      <c r="U278">
        <v>9342</v>
      </c>
      <c r="V278">
        <v>33166.67</v>
      </c>
      <c r="W278" s="31" t="str">
        <f>VLOOKUP(vehicle_data[[#This Row],[Vehicle]],upfront[],6,FALSE)</f>
        <v>Redford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EEF2-1DB5-48ED-8E28-90644EF0A976}">
  <sheetPr>
    <tabColor rgb="FFFF9999"/>
  </sheetPr>
  <dimension ref="A1:DO67"/>
  <sheetViews>
    <sheetView workbookViewId="0">
      <selection activeCell="B26" sqref="B26"/>
    </sheetView>
  </sheetViews>
  <sheetFormatPr defaultColWidth="11.6640625" defaultRowHeight="14.25" outlineLevelCol="1" x14ac:dyDescent="0.45"/>
  <cols>
    <col min="8" max="8" width="34.6640625" style="37" bestFit="1" customWidth="1"/>
    <col min="9" max="9" width="34" bestFit="1" customWidth="1"/>
    <col min="10" max="26" width="11.6640625" customWidth="1" outlineLevel="1"/>
    <col min="28" max="66" width="11.6640625" customWidth="1" outlineLevel="1"/>
    <col min="67" max="67" width="11.6640625" style="37" customWidth="1" outlineLevel="1"/>
    <col min="68" max="70" width="0" hidden="1" customWidth="1"/>
    <col min="71" max="71" width="9.3984375" hidden="1" customWidth="1"/>
    <col min="72" max="72" width="4.59765625" hidden="1" customWidth="1"/>
    <col min="73" max="73" width="8.59765625" hidden="1" customWidth="1"/>
    <col min="74" max="74" width="11.265625" hidden="1" customWidth="1"/>
    <col min="75" max="75" width="8.1328125" hidden="1" customWidth="1"/>
    <col min="76" max="76" width="11.6640625" hidden="1" customWidth="1"/>
    <col min="77" max="77" width="28.265625" hidden="1" customWidth="1"/>
    <col min="78" max="78" width="10.3984375" hidden="1" customWidth="1"/>
    <col min="79" max="79" width="6.86328125" hidden="1" customWidth="1"/>
    <col min="80" max="80" width="10.3984375" hidden="1" customWidth="1"/>
    <col min="81" max="81" width="10.265625" hidden="1" customWidth="1"/>
    <col min="82" max="82" width="11.1328125" hidden="1" customWidth="1"/>
    <col min="83" max="84" width="6" hidden="1" customWidth="1"/>
    <col min="85" max="85" width="24.1328125" hidden="1" customWidth="1"/>
    <col min="86" max="86" width="16.59765625" hidden="1" customWidth="1"/>
    <col min="87" max="87" width="15.6640625" hidden="1" customWidth="1"/>
    <col min="88" max="88" width="16.3984375" hidden="1" customWidth="1"/>
    <col min="89" max="89" width="12.1328125" hidden="1" customWidth="1"/>
    <col min="90" max="90" width="13.59765625" hidden="1" customWidth="1"/>
    <col min="91" max="91" width="15.6640625" hidden="1" customWidth="1"/>
    <col min="92" max="92" width="8.6640625" hidden="1" customWidth="1"/>
    <col min="93" max="93" width="14.1328125" hidden="1" customWidth="1"/>
    <col min="94" max="94" width="11.59765625" hidden="1" customWidth="1"/>
    <col min="95" max="95" width="14" hidden="1" customWidth="1"/>
    <col min="96" max="96" width="11.59765625" hidden="1" customWidth="1"/>
    <col min="97" max="97" width="13.6640625" hidden="1" customWidth="1"/>
    <col min="98" max="99" width="20.265625" hidden="1" customWidth="1"/>
    <col min="100" max="100" width="16.1328125" hidden="1" customWidth="1"/>
    <col min="101" max="101" width="18" hidden="1" customWidth="1"/>
    <col min="102" max="102" width="16" hidden="1" customWidth="1"/>
    <col min="103" max="103" width="12.59765625" hidden="1" customWidth="1"/>
    <col min="104" max="104" width="10.6640625" hidden="1" customWidth="1"/>
    <col min="105" max="105" width="13.3984375" hidden="1" customWidth="1"/>
    <col min="106" max="106" width="5.3984375" hidden="1" customWidth="1"/>
    <col min="107" max="107" width="17.59765625" hidden="1" customWidth="1"/>
    <col min="108" max="108" width="16.265625" hidden="1" customWidth="1"/>
    <col min="109" max="109" width="11.86328125" hidden="1" customWidth="1"/>
    <col min="110" max="110" width="11.59765625" hidden="1" customWidth="1"/>
    <col min="111" max="111" width="12.265625" hidden="1" customWidth="1"/>
    <col min="112" max="112" width="12.3984375" hidden="1" customWidth="1"/>
    <col min="113" max="113" width="18.3984375" hidden="1" customWidth="1"/>
    <col min="114" max="114" width="21.59765625" hidden="1" customWidth="1"/>
    <col min="115" max="115" width="22.6640625" hidden="1" customWidth="1"/>
    <col min="116" max="116" width="47.3984375" hidden="1" customWidth="1"/>
    <col min="117" max="117" width="14.59765625" hidden="1" customWidth="1"/>
    <col min="118" max="118" width="13.265625" bestFit="1" customWidth="1"/>
    <col min="119" max="119" width="46.59765625" bestFit="1" customWidth="1"/>
  </cols>
  <sheetData>
    <row r="1" spans="1:119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</row>
    <row r="3" spans="1:119" x14ac:dyDescent="0.45">
      <c r="A3" t="s">
        <v>188</v>
      </c>
      <c r="B3" t="s">
        <v>194</v>
      </c>
      <c r="C3" t="s">
        <v>195</v>
      </c>
      <c r="D3" t="s">
        <v>158</v>
      </c>
      <c r="E3" t="s">
        <v>196</v>
      </c>
      <c r="F3" t="s">
        <v>197</v>
      </c>
      <c r="G3" t="s">
        <v>198</v>
      </c>
      <c r="H3" s="37" t="s">
        <v>199</v>
      </c>
      <c r="I3" t="s">
        <v>200</v>
      </c>
      <c r="J3" t="s">
        <v>201</v>
      </c>
      <c r="K3" t="s">
        <v>202</v>
      </c>
      <c r="L3" t="s">
        <v>203</v>
      </c>
      <c r="M3" t="s">
        <v>204</v>
      </c>
      <c r="N3" t="s">
        <v>205</v>
      </c>
      <c r="O3" t="s">
        <v>206</v>
      </c>
      <c r="P3" t="s">
        <v>207</v>
      </c>
      <c r="Q3" t="s">
        <v>208</v>
      </c>
      <c r="R3" t="s">
        <v>209</v>
      </c>
      <c r="S3" t="s">
        <v>42</v>
      </c>
      <c r="T3" t="s">
        <v>210</v>
      </c>
      <c r="U3" t="s">
        <v>211</v>
      </c>
      <c r="V3" t="s">
        <v>212</v>
      </c>
      <c r="W3" t="s">
        <v>213</v>
      </c>
      <c r="X3" t="s">
        <v>214</v>
      </c>
      <c r="Y3" t="s">
        <v>215</v>
      </c>
      <c r="Z3" t="s">
        <v>216</v>
      </c>
      <c r="AA3" t="s">
        <v>217</v>
      </c>
      <c r="AB3" t="s">
        <v>218</v>
      </c>
      <c r="AC3" t="s">
        <v>219</v>
      </c>
      <c r="AD3" t="s">
        <v>220</v>
      </c>
      <c r="AE3" t="s">
        <v>221</v>
      </c>
      <c r="AF3" t="s">
        <v>222</v>
      </c>
      <c r="AG3" t="s">
        <v>223</v>
      </c>
      <c r="AH3" t="s">
        <v>224</v>
      </c>
      <c r="AI3" t="s">
        <v>225</v>
      </c>
      <c r="AJ3" t="s">
        <v>226</v>
      </c>
      <c r="AK3" t="s">
        <v>227</v>
      </c>
      <c r="AL3" t="s">
        <v>228</v>
      </c>
      <c r="AM3" t="s">
        <v>229</v>
      </c>
      <c r="AN3" t="s">
        <v>230</v>
      </c>
      <c r="AO3" t="s">
        <v>231</v>
      </c>
      <c r="AP3" t="s">
        <v>232</v>
      </c>
      <c r="AQ3" t="s">
        <v>184</v>
      </c>
      <c r="AR3" t="s">
        <v>233</v>
      </c>
      <c r="AS3" t="s">
        <v>234</v>
      </c>
      <c r="AT3" t="s">
        <v>235</v>
      </c>
      <c r="AU3" t="s">
        <v>236</v>
      </c>
      <c r="AV3" t="s">
        <v>237</v>
      </c>
      <c r="AW3" t="s">
        <v>238</v>
      </c>
      <c r="AX3" t="s">
        <v>239</v>
      </c>
      <c r="AY3" t="s">
        <v>240</v>
      </c>
      <c r="AZ3" t="s">
        <v>241</v>
      </c>
      <c r="BA3" t="s">
        <v>242</v>
      </c>
      <c r="BB3" t="s">
        <v>243</v>
      </c>
      <c r="BC3" t="s">
        <v>244</v>
      </c>
      <c r="BD3" t="s">
        <v>245</v>
      </c>
      <c r="BE3" t="s">
        <v>246</v>
      </c>
      <c r="BF3" t="s">
        <v>247</v>
      </c>
      <c r="BG3" t="s">
        <v>248</v>
      </c>
      <c r="BH3" t="s">
        <v>249</v>
      </c>
      <c r="BI3" t="s">
        <v>250</v>
      </c>
      <c r="BJ3" t="s">
        <v>251</v>
      </c>
      <c r="BK3" t="s">
        <v>252</v>
      </c>
      <c r="BL3" t="s">
        <v>253</v>
      </c>
      <c r="BM3" t="s">
        <v>254</v>
      </c>
      <c r="BN3" t="s">
        <v>255</v>
      </c>
      <c r="BO3" s="37" t="s">
        <v>256</v>
      </c>
      <c r="BP3" t="s">
        <v>257</v>
      </c>
      <c r="BQ3" t="s">
        <v>258</v>
      </c>
      <c r="BR3" t="s">
        <v>259</v>
      </c>
      <c r="BS3" t="s">
        <v>260</v>
      </c>
      <c r="BT3" t="s">
        <v>261</v>
      </c>
      <c r="BU3" t="s">
        <v>262</v>
      </c>
      <c r="BV3" t="s">
        <v>263</v>
      </c>
      <c r="BW3" t="s">
        <v>264</v>
      </c>
      <c r="BX3" t="s">
        <v>265</v>
      </c>
      <c r="BY3" t="s">
        <v>266</v>
      </c>
      <c r="BZ3" t="s">
        <v>267</v>
      </c>
      <c r="CA3" t="s">
        <v>268</v>
      </c>
      <c r="CB3" t="s">
        <v>269</v>
      </c>
      <c r="CC3" t="s">
        <v>270</v>
      </c>
      <c r="CD3" t="s">
        <v>271</v>
      </c>
      <c r="CE3" t="s">
        <v>272</v>
      </c>
      <c r="CF3" t="s">
        <v>273</v>
      </c>
      <c r="CG3" t="s">
        <v>274</v>
      </c>
      <c r="CH3" t="s">
        <v>275</v>
      </c>
      <c r="CI3" t="s">
        <v>276</v>
      </c>
      <c r="CJ3" t="s">
        <v>277</v>
      </c>
      <c r="CK3" t="s">
        <v>278</v>
      </c>
      <c r="CL3" t="s">
        <v>279</v>
      </c>
      <c r="CM3" t="s">
        <v>280</v>
      </c>
      <c r="CN3" t="s">
        <v>281</v>
      </c>
      <c r="CO3" t="s">
        <v>282</v>
      </c>
      <c r="CP3" t="s">
        <v>283</v>
      </c>
      <c r="CQ3" t="s">
        <v>284</v>
      </c>
      <c r="CR3" t="s">
        <v>285</v>
      </c>
      <c r="CS3" t="s">
        <v>286</v>
      </c>
      <c r="CT3" t="s">
        <v>287</v>
      </c>
      <c r="CU3" t="s">
        <v>288</v>
      </c>
      <c r="CV3" t="s">
        <v>289</v>
      </c>
      <c r="CW3" t="s">
        <v>290</v>
      </c>
      <c r="CX3" t="s">
        <v>291</v>
      </c>
      <c r="CY3" t="s">
        <v>292</v>
      </c>
      <c r="CZ3" t="s">
        <v>293</v>
      </c>
      <c r="DA3" t="s">
        <v>294</v>
      </c>
      <c r="DB3" t="s">
        <v>295</v>
      </c>
      <c r="DC3" t="s">
        <v>296</v>
      </c>
      <c r="DD3" t="s">
        <v>297</v>
      </c>
      <c r="DE3" t="s">
        <v>298</v>
      </c>
      <c r="DF3" t="s">
        <v>299</v>
      </c>
      <c r="DG3" t="s">
        <v>300</v>
      </c>
      <c r="DH3" t="s">
        <v>301</v>
      </c>
      <c r="DI3" t="s">
        <v>302</v>
      </c>
      <c r="DJ3" t="s">
        <v>303</v>
      </c>
      <c r="DK3" t="s">
        <v>304</v>
      </c>
      <c r="DL3" t="s">
        <v>305</v>
      </c>
      <c r="DM3" t="s">
        <v>306</v>
      </c>
      <c r="DN3" t="s">
        <v>307</v>
      </c>
      <c r="DO3" t="s">
        <v>308</v>
      </c>
    </row>
    <row r="4" spans="1:119" x14ac:dyDescent="0.45">
      <c r="A4" t="s">
        <v>99</v>
      </c>
      <c r="B4">
        <v>1322674</v>
      </c>
      <c r="C4" t="s">
        <v>80</v>
      </c>
      <c r="D4">
        <v>2014</v>
      </c>
      <c r="E4" t="s">
        <v>309</v>
      </c>
      <c r="F4" t="s">
        <v>310</v>
      </c>
      <c r="G4" t="s">
        <v>311</v>
      </c>
      <c r="H4" s="37" t="s">
        <v>312</v>
      </c>
      <c r="J4" t="s">
        <v>313</v>
      </c>
      <c r="K4" t="s">
        <v>314</v>
      </c>
      <c r="L4" s="33">
        <v>44173.695138888892</v>
      </c>
      <c r="M4" s="34">
        <v>182368.6</v>
      </c>
      <c r="N4" t="s">
        <v>315</v>
      </c>
      <c r="O4" s="9">
        <v>44279</v>
      </c>
      <c r="S4" t="s">
        <v>316</v>
      </c>
      <c r="T4" t="s">
        <v>317</v>
      </c>
      <c r="U4" t="s">
        <v>318</v>
      </c>
      <c r="V4" t="s">
        <v>319</v>
      </c>
      <c r="W4" t="s">
        <v>320</v>
      </c>
      <c r="X4" t="s">
        <v>321</v>
      </c>
      <c r="Y4" s="35">
        <v>12016.87</v>
      </c>
      <c r="Z4" s="35">
        <v>0</v>
      </c>
      <c r="AA4" s="35">
        <v>0</v>
      </c>
      <c r="AB4" s="35">
        <v>0.06</v>
      </c>
      <c r="AC4" t="s">
        <v>322</v>
      </c>
      <c r="AD4">
        <v>0</v>
      </c>
      <c r="AE4" t="s">
        <v>323</v>
      </c>
      <c r="AG4" t="s">
        <v>324</v>
      </c>
      <c r="AH4" t="b">
        <v>1</v>
      </c>
      <c r="AI4" t="b">
        <v>1</v>
      </c>
      <c r="AJ4" t="s">
        <v>325</v>
      </c>
      <c r="AK4" t="s">
        <v>326</v>
      </c>
      <c r="AL4" t="s">
        <v>327</v>
      </c>
      <c r="AM4" t="s">
        <v>328</v>
      </c>
      <c r="AN4" t="s">
        <v>329</v>
      </c>
      <c r="AO4" t="s">
        <v>330</v>
      </c>
      <c r="AP4" t="s">
        <v>331</v>
      </c>
      <c r="AQ4" s="35">
        <v>30240</v>
      </c>
      <c r="AR4">
        <v>26</v>
      </c>
      <c r="AT4">
        <v>67</v>
      </c>
      <c r="AU4">
        <v>8.5</v>
      </c>
      <c r="AV4">
        <v>74.8</v>
      </c>
      <c r="AW4">
        <v>250.4</v>
      </c>
      <c r="AX4">
        <v>67</v>
      </c>
      <c r="AY4">
        <v>97</v>
      </c>
      <c r="AZ4">
        <v>163.1</v>
      </c>
      <c r="BC4" s="15">
        <v>7900</v>
      </c>
      <c r="BD4" s="15">
        <v>5312</v>
      </c>
      <c r="BE4" s="15">
        <v>7300</v>
      </c>
      <c r="BF4">
        <v>97.4</v>
      </c>
      <c r="BG4" s="15">
        <v>1930</v>
      </c>
      <c r="BI4" t="s">
        <v>332</v>
      </c>
      <c r="BJ4">
        <v>17</v>
      </c>
      <c r="BK4" t="s">
        <v>332</v>
      </c>
      <c r="BL4">
        <v>17</v>
      </c>
      <c r="BM4">
        <v>16</v>
      </c>
      <c r="BN4">
        <v>22</v>
      </c>
      <c r="BO4" s="37">
        <v>18</v>
      </c>
      <c r="BP4" t="s">
        <v>333</v>
      </c>
      <c r="BQ4" t="s">
        <v>334</v>
      </c>
      <c r="BR4" t="s">
        <v>335</v>
      </c>
      <c r="BS4" t="s">
        <v>336</v>
      </c>
      <c r="BT4">
        <v>3.6</v>
      </c>
      <c r="BU4" t="s">
        <v>337</v>
      </c>
      <c r="BV4">
        <v>10</v>
      </c>
      <c r="BW4">
        <v>6</v>
      </c>
      <c r="BX4">
        <v>3.5</v>
      </c>
      <c r="BY4" t="s">
        <v>338</v>
      </c>
      <c r="BZ4">
        <v>87</v>
      </c>
      <c r="CA4">
        <v>365</v>
      </c>
      <c r="CB4">
        <v>420</v>
      </c>
      <c r="CC4">
        <v>5.7</v>
      </c>
      <c r="CD4">
        <v>0</v>
      </c>
      <c r="CE4">
        <v>3.5</v>
      </c>
      <c r="CF4">
        <v>24</v>
      </c>
      <c r="CG4" t="s">
        <v>339</v>
      </c>
      <c r="CI4" t="s">
        <v>340</v>
      </c>
      <c r="CJ4">
        <v>6</v>
      </c>
      <c r="CM4">
        <v>114.8</v>
      </c>
      <c r="DH4" s="35">
        <v>0</v>
      </c>
    </row>
    <row r="5" spans="1:119" x14ac:dyDescent="0.45">
      <c r="A5" t="s">
        <v>100</v>
      </c>
      <c r="B5">
        <v>1322688</v>
      </c>
      <c r="C5" t="s">
        <v>80</v>
      </c>
      <c r="D5">
        <v>2014</v>
      </c>
      <c r="E5" t="s">
        <v>309</v>
      </c>
      <c r="F5" t="s">
        <v>310</v>
      </c>
      <c r="G5" t="s">
        <v>311</v>
      </c>
      <c r="H5" s="37" t="s">
        <v>312</v>
      </c>
      <c r="I5" t="s">
        <v>341</v>
      </c>
      <c r="J5" t="s">
        <v>313</v>
      </c>
      <c r="K5" t="s">
        <v>314</v>
      </c>
      <c r="L5" s="33">
        <v>44173.705555555556</v>
      </c>
      <c r="M5" s="15">
        <v>190275</v>
      </c>
      <c r="N5" t="s">
        <v>315</v>
      </c>
      <c r="O5" s="9">
        <v>44277</v>
      </c>
      <c r="S5" t="s">
        <v>316</v>
      </c>
      <c r="T5" t="s">
        <v>342</v>
      </c>
      <c r="U5" t="s">
        <v>343</v>
      </c>
      <c r="V5" t="s">
        <v>344</v>
      </c>
      <c r="W5" t="s">
        <v>320</v>
      </c>
      <c r="X5" t="s">
        <v>321</v>
      </c>
      <c r="Y5" s="35">
        <v>8905.2099999999991</v>
      </c>
      <c r="Z5" s="35">
        <v>448.74</v>
      </c>
      <c r="AA5" s="35">
        <v>0</v>
      </c>
      <c r="AB5" s="35">
        <v>0.04</v>
      </c>
      <c r="AC5" t="s">
        <v>345</v>
      </c>
      <c r="AD5">
        <v>0</v>
      </c>
      <c r="AE5" t="s">
        <v>323</v>
      </c>
      <c r="AG5" t="s">
        <v>324</v>
      </c>
      <c r="AH5" t="b">
        <v>1</v>
      </c>
      <c r="AI5" t="b">
        <v>1</v>
      </c>
      <c r="AJ5" t="s">
        <v>325</v>
      </c>
      <c r="AK5" t="s">
        <v>326</v>
      </c>
      <c r="AL5" t="s">
        <v>327</v>
      </c>
      <c r="AM5" t="s">
        <v>328</v>
      </c>
      <c r="AN5" t="s">
        <v>329</v>
      </c>
      <c r="AO5" t="s">
        <v>330</v>
      </c>
      <c r="AP5" t="s">
        <v>331</v>
      </c>
      <c r="AQ5" s="35">
        <v>30240</v>
      </c>
      <c r="AR5">
        <v>26</v>
      </c>
      <c r="AT5">
        <v>67</v>
      </c>
      <c r="AU5">
        <v>8.5</v>
      </c>
      <c r="AV5">
        <v>74.8</v>
      </c>
      <c r="AW5">
        <v>250.4</v>
      </c>
      <c r="AX5">
        <v>67</v>
      </c>
      <c r="AY5">
        <v>97</v>
      </c>
      <c r="AZ5">
        <v>163.1</v>
      </c>
      <c r="BC5" s="15">
        <v>7900</v>
      </c>
      <c r="BD5" s="15">
        <v>5312</v>
      </c>
      <c r="BE5" s="15">
        <v>7300</v>
      </c>
      <c r="BF5">
        <v>97.4</v>
      </c>
      <c r="BG5" s="15">
        <v>1930</v>
      </c>
      <c r="BI5" t="s">
        <v>332</v>
      </c>
      <c r="BJ5">
        <v>17</v>
      </c>
      <c r="BK5" t="s">
        <v>332</v>
      </c>
      <c r="BL5">
        <v>17</v>
      </c>
      <c r="BM5">
        <v>16</v>
      </c>
      <c r="BN5">
        <v>22</v>
      </c>
      <c r="BO5" s="37">
        <v>18</v>
      </c>
      <c r="BP5" t="s">
        <v>333</v>
      </c>
      <c r="BQ5" t="s">
        <v>334</v>
      </c>
      <c r="BR5" t="s">
        <v>335</v>
      </c>
      <c r="BS5" t="s">
        <v>336</v>
      </c>
      <c r="BT5">
        <v>3.6</v>
      </c>
      <c r="BU5" t="s">
        <v>337</v>
      </c>
      <c r="BV5">
        <v>10</v>
      </c>
      <c r="BW5">
        <v>6</v>
      </c>
      <c r="BX5">
        <v>3.5</v>
      </c>
      <c r="BY5" t="s">
        <v>338</v>
      </c>
      <c r="BZ5">
        <v>87</v>
      </c>
      <c r="CA5">
        <v>365</v>
      </c>
      <c r="CB5">
        <v>420</v>
      </c>
      <c r="CC5">
        <v>5.7</v>
      </c>
      <c r="CD5">
        <v>0</v>
      </c>
      <c r="CE5">
        <v>3.5</v>
      </c>
      <c r="CF5">
        <v>24</v>
      </c>
      <c r="CG5" t="s">
        <v>339</v>
      </c>
      <c r="CI5" t="s">
        <v>340</v>
      </c>
      <c r="CJ5">
        <v>6</v>
      </c>
      <c r="CM5">
        <v>114.8</v>
      </c>
      <c r="DH5" s="35">
        <v>0</v>
      </c>
    </row>
    <row r="6" spans="1:119" x14ac:dyDescent="0.45">
      <c r="A6" t="s">
        <v>101</v>
      </c>
      <c r="B6">
        <v>1322704</v>
      </c>
      <c r="C6" t="s">
        <v>80</v>
      </c>
      <c r="D6">
        <v>2011</v>
      </c>
      <c r="E6" t="s">
        <v>346</v>
      </c>
      <c r="F6" t="s">
        <v>347</v>
      </c>
      <c r="G6" t="s">
        <v>348</v>
      </c>
      <c r="H6" s="37" t="s">
        <v>349</v>
      </c>
      <c r="I6" t="s">
        <v>341</v>
      </c>
      <c r="J6" t="s">
        <v>313</v>
      </c>
      <c r="L6" s="33">
        <v>44173.711805555555</v>
      </c>
      <c r="M6" s="34">
        <v>195604.1</v>
      </c>
      <c r="N6" t="s">
        <v>315</v>
      </c>
      <c r="O6" s="9">
        <v>44278</v>
      </c>
      <c r="S6" t="s">
        <v>316</v>
      </c>
      <c r="T6" t="s">
        <v>350</v>
      </c>
      <c r="U6" t="s">
        <v>351</v>
      </c>
      <c r="V6" t="s">
        <v>352</v>
      </c>
      <c r="W6" t="s">
        <v>320</v>
      </c>
      <c r="X6" t="s">
        <v>321</v>
      </c>
      <c r="Y6" s="35">
        <v>10948.94</v>
      </c>
      <c r="Z6" s="35">
        <v>0</v>
      </c>
      <c r="AA6" s="35">
        <v>0</v>
      </c>
      <c r="AB6" s="35">
        <v>0.05</v>
      </c>
      <c r="AC6" t="s">
        <v>353</v>
      </c>
      <c r="AD6">
        <v>0</v>
      </c>
      <c r="AE6" t="s">
        <v>323</v>
      </c>
      <c r="AG6" t="s">
        <v>324</v>
      </c>
      <c r="AH6" t="b">
        <v>1</v>
      </c>
      <c r="AI6" t="b">
        <v>1</v>
      </c>
      <c r="AJ6" t="s">
        <v>325</v>
      </c>
      <c r="AK6" t="s">
        <v>326</v>
      </c>
      <c r="AL6" t="s">
        <v>354</v>
      </c>
      <c r="AM6" t="s">
        <v>328</v>
      </c>
      <c r="AN6" t="s">
        <v>355</v>
      </c>
      <c r="AO6" t="s">
        <v>330</v>
      </c>
      <c r="AP6" t="s">
        <v>331</v>
      </c>
      <c r="AQ6" s="35">
        <v>21625</v>
      </c>
      <c r="AR6">
        <v>34</v>
      </c>
      <c r="AT6">
        <v>68.099999999999994</v>
      </c>
      <c r="AU6">
        <v>8.1999999999999993</v>
      </c>
      <c r="AV6">
        <v>73.5</v>
      </c>
      <c r="AW6">
        <v>224.5</v>
      </c>
      <c r="AX6">
        <v>67</v>
      </c>
      <c r="AY6">
        <v>79.900000000000006</v>
      </c>
      <c r="AZ6">
        <v>133</v>
      </c>
      <c r="BC6" s="15">
        <v>4700</v>
      </c>
      <c r="BD6" s="15">
        <v>4594</v>
      </c>
      <c r="BE6" s="15">
        <v>6400</v>
      </c>
      <c r="BF6">
        <v>97.8</v>
      </c>
      <c r="BG6" s="15">
        <v>1806</v>
      </c>
      <c r="BI6" t="s">
        <v>356</v>
      </c>
      <c r="BJ6" t="s">
        <v>357</v>
      </c>
      <c r="BK6" t="s">
        <v>356</v>
      </c>
      <c r="BL6" t="s">
        <v>357</v>
      </c>
      <c r="BM6">
        <v>11</v>
      </c>
      <c r="BN6">
        <v>16</v>
      </c>
      <c r="BO6" s="37">
        <v>13</v>
      </c>
      <c r="BP6" t="s">
        <v>358</v>
      </c>
      <c r="BQ6" t="s">
        <v>359</v>
      </c>
      <c r="BR6" t="s">
        <v>360</v>
      </c>
      <c r="BS6" t="s">
        <v>336</v>
      </c>
      <c r="BT6">
        <v>3.8</v>
      </c>
      <c r="BU6" t="s">
        <v>361</v>
      </c>
      <c r="BV6">
        <v>9.9</v>
      </c>
      <c r="BW6">
        <v>8</v>
      </c>
      <c r="BX6">
        <v>5.3</v>
      </c>
      <c r="BY6" t="s">
        <v>362</v>
      </c>
      <c r="BZ6">
        <v>87</v>
      </c>
      <c r="CA6">
        <v>315</v>
      </c>
      <c r="CB6">
        <v>335</v>
      </c>
      <c r="CC6">
        <v>5.7</v>
      </c>
      <c r="CD6">
        <v>6000</v>
      </c>
      <c r="CE6">
        <v>3.6</v>
      </c>
      <c r="CF6">
        <v>16</v>
      </c>
      <c r="CG6" t="s">
        <v>363</v>
      </c>
      <c r="CI6" t="s">
        <v>340</v>
      </c>
      <c r="CJ6">
        <v>6</v>
      </c>
      <c r="DH6" s="35">
        <v>0</v>
      </c>
    </row>
    <row r="7" spans="1:119" x14ac:dyDescent="0.45">
      <c r="A7" t="s">
        <v>102</v>
      </c>
      <c r="B7">
        <v>1322765</v>
      </c>
      <c r="C7" t="s">
        <v>80</v>
      </c>
      <c r="D7">
        <v>2014</v>
      </c>
      <c r="E7" t="s">
        <v>309</v>
      </c>
      <c r="F7" t="s">
        <v>310</v>
      </c>
      <c r="G7" t="s">
        <v>311</v>
      </c>
      <c r="H7" s="37" t="s">
        <v>312</v>
      </c>
      <c r="I7" t="s">
        <v>341</v>
      </c>
      <c r="J7" t="s">
        <v>313</v>
      </c>
      <c r="K7" t="s">
        <v>314</v>
      </c>
      <c r="L7" s="33">
        <v>44173.728472222225</v>
      </c>
      <c r="M7" s="15">
        <v>139569</v>
      </c>
      <c r="N7" t="s">
        <v>315</v>
      </c>
      <c r="O7" s="9">
        <v>44278</v>
      </c>
      <c r="S7" t="s">
        <v>316</v>
      </c>
      <c r="T7" t="s">
        <v>364</v>
      </c>
      <c r="U7" t="s">
        <v>365</v>
      </c>
      <c r="V7" t="s">
        <v>366</v>
      </c>
      <c r="W7" t="s">
        <v>320</v>
      </c>
      <c r="X7" t="s">
        <v>321</v>
      </c>
      <c r="Y7" s="35">
        <v>4175.3100000000004</v>
      </c>
      <c r="Z7" s="35">
        <v>689.7</v>
      </c>
      <c r="AA7" s="35">
        <v>0</v>
      </c>
      <c r="AB7" s="35">
        <v>0.03</v>
      </c>
      <c r="AC7" t="s">
        <v>367</v>
      </c>
      <c r="AD7">
        <v>0</v>
      </c>
      <c r="AE7" t="s">
        <v>323</v>
      </c>
      <c r="AG7" t="s">
        <v>324</v>
      </c>
      <c r="AH7" t="b">
        <v>1</v>
      </c>
      <c r="AI7" t="b">
        <v>1</v>
      </c>
      <c r="AJ7" t="s">
        <v>325</v>
      </c>
      <c r="AK7" t="s">
        <v>326</v>
      </c>
      <c r="AL7" t="s">
        <v>327</v>
      </c>
      <c r="AM7" t="s">
        <v>328</v>
      </c>
      <c r="AN7" t="s">
        <v>329</v>
      </c>
      <c r="AO7" t="s">
        <v>330</v>
      </c>
      <c r="AP7" t="s">
        <v>331</v>
      </c>
      <c r="AQ7" s="35">
        <v>30240</v>
      </c>
      <c r="AR7">
        <v>26</v>
      </c>
      <c r="AT7">
        <v>67</v>
      </c>
      <c r="AU7">
        <v>8.5</v>
      </c>
      <c r="AV7">
        <v>74.8</v>
      </c>
      <c r="AW7">
        <v>250.4</v>
      </c>
      <c r="AX7">
        <v>67</v>
      </c>
      <c r="AY7">
        <v>97</v>
      </c>
      <c r="AZ7">
        <v>163.1</v>
      </c>
      <c r="BC7" s="15">
        <v>7900</v>
      </c>
      <c r="BD7" s="15">
        <v>5312</v>
      </c>
      <c r="BE7" s="15">
        <v>7300</v>
      </c>
      <c r="BF7">
        <v>97.4</v>
      </c>
      <c r="BG7" s="15">
        <v>1930</v>
      </c>
      <c r="BI7" t="s">
        <v>332</v>
      </c>
      <c r="BJ7">
        <v>17</v>
      </c>
      <c r="BK7" t="s">
        <v>332</v>
      </c>
      <c r="BL7">
        <v>17</v>
      </c>
      <c r="BM7">
        <v>16</v>
      </c>
      <c r="BN7">
        <v>22</v>
      </c>
      <c r="BO7" s="37">
        <v>18</v>
      </c>
      <c r="BP7" t="s">
        <v>333</v>
      </c>
      <c r="BQ7" t="s">
        <v>334</v>
      </c>
      <c r="BR7" t="s">
        <v>335</v>
      </c>
      <c r="BS7" t="s">
        <v>336</v>
      </c>
      <c r="BT7">
        <v>3.6</v>
      </c>
      <c r="BU7" t="s">
        <v>337</v>
      </c>
      <c r="BV7">
        <v>10</v>
      </c>
      <c r="BW7">
        <v>6</v>
      </c>
      <c r="BX7">
        <v>3.5</v>
      </c>
      <c r="BY7" t="s">
        <v>338</v>
      </c>
      <c r="BZ7">
        <v>87</v>
      </c>
      <c r="CA7">
        <v>365</v>
      </c>
      <c r="CB7">
        <v>420</v>
      </c>
      <c r="CC7">
        <v>5.7</v>
      </c>
      <c r="CD7">
        <v>0</v>
      </c>
      <c r="CE7">
        <v>3.5</v>
      </c>
      <c r="CF7">
        <v>24</v>
      </c>
      <c r="CG7" t="s">
        <v>339</v>
      </c>
      <c r="CI7" t="s">
        <v>340</v>
      </c>
      <c r="CJ7">
        <v>6</v>
      </c>
      <c r="CM7">
        <v>114.8</v>
      </c>
      <c r="DH7" s="35">
        <v>0</v>
      </c>
    </row>
    <row r="8" spans="1:119" x14ac:dyDescent="0.45">
      <c r="A8" t="s">
        <v>103</v>
      </c>
      <c r="B8">
        <v>1322767</v>
      </c>
      <c r="C8" t="s">
        <v>80</v>
      </c>
      <c r="D8">
        <v>2011</v>
      </c>
      <c r="E8" t="s">
        <v>346</v>
      </c>
      <c r="F8" t="s">
        <v>347</v>
      </c>
      <c r="G8" t="s">
        <v>348</v>
      </c>
      <c r="H8" s="37" t="s">
        <v>349</v>
      </c>
      <c r="I8" t="s">
        <v>341</v>
      </c>
      <c r="J8" t="s">
        <v>313</v>
      </c>
      <c r="L8" s="33">
        <v>44173.731249999997</v>
      </c>
      <c r="M8" s="15">
        <v>173471</v>
      </c>
      <c r="N8" t="s">
        <v>315</v>
      </c>
      <c r="O8" s="9">
        <v>44275</v>
      </c>
      <c r="S8" t="s">
        <v>316</v>
      </c>
      <c r="T8" t="s">
        <v>368</v>
      </c>
      <c r="U8" t="s">
        <v>369</v>
      </c>
      <c r="V8" t="s">
        <v>370</v>
      </c>
      <c r="W8" t="s">
        <v>320</v>
      </c>
      <c r="X8" t="s">
        <v>321</v>
      </c>
      <c r="Y8" s="35">
        <v>7460.8</v>
      </c>
      <c r="Z8" s="35">
        <v>556.1</v>
      </c>
      <c r="AA8" s="35">
        <v>0</v>
      </c>
      <c r="AB8" s="35">
        <v>0.04</v>
      </c>
      <c r="AC8" t="s">
        <v>371</v>
      </c>
      <c r="AD8">
        <v>0</v>
      </c>
      <c r="AE8" t="s">
        <v>323</v>
      </c>
      <c r="AG8" t="s">
        <v>324</v>
      </c>
      <c r="AH8" t="b">
        <v>1</v>
      </c>
      <c r="AI8" t="b">
        <v>1</v>
      </c>
      <c r="AJ8" t="s">
        <v>325</v>
      </c>
      <c r="AK8" t="s">
        <v>326</v>
      </c>
      <c r="AL8" t="s">
        <v>354</v>
      </c>
      <c r="AM8" t="s">
        <v>328</v>
      </c>
      <c r="AN8" t="s">
        <v>355</v>
      </c>
      <c r="AO8" t="s">
        <v>330</v>
      </c>
      <c r="AP8" t="s">
        <v>331</v>
      </c>
      <c r="AQ8" s="35">
        <v>21625</v>
      </c>
      <c r="AR8">
        <v>34</v>
      </c>
      <c r="AT8">
        <v>68.099999999999994</v>
      </c>
      <c r="AU8">
        <v>8.1999999999999993</v>
      </c>
      <c r="AV8">
        <v>73.5</v>
      </c>
      <c r="AW8">
        <v>224.5</v>
      </c>
      <c r="AX8">
        <v>67</v>
      </c>
      <c r="AY8">
        <v>79.900000000000006</v>
      </c>
      <c r="AZ8">
        <v>133</v>
      </c>
      <c r="BC8" s="15">
        <v>4700</v>
      </c>
      <c r="BD8" s="15">
        <v>4594</v>
      </c>
      <c r="BE8" s="15">
        <v>6400</v>
      </c>
      <c r="BF8">
        <v>97.8</v>
      </c>
      <c r="BG8" s="15">
        <v>1806</v>
      </c>
      <c r="BI8" t="s">
        <v>356</v>
      </c>
      <c r="BJ8" t="s">
        <v>357</v>
      </c>
      <c r="BK8" t="s">
        <v>356</v>
      </c>
      <c r="BL8" t="s">
        <v>357</v>
      </c>
      <c r="BM8">
        <v>11</v>
      </c>
      <c r="BN8">
        <v>16</v>
      </c>
      <c r="BO8" s="37">
        <v>13</v>
      </c>
      <c r="BP8" t="s">
        <v>358</v>
      </c>
      <c r="BQ8" t="s">
        <v>359</v>
      </c>
      <c r="BR8" t="s">
        <v>360</v>
      </c>
      <c r="BS8" t="s">
        <v>336</v>
      </c>
      <c r="BT8">
        <v>3.8</v>
      </c>
      <c r="BU8" t="s">
        <v>361</v>
      </c>
      <c r="BV8">
        <v>9.9</v>
      </c>
      <c r="BW8">
        <v>8</v>
      </c>
      <c r="BX8">
        <v>5.3</v>
      </c>
      <c r="BY8" t="s">
        <v>362</v>
      </c>
      <c r="BZ8">
        <v>87</v>
      </c>
      <c r="CA8">
        <v>315</v>
      </c>
      <c r="CB8">
        <v>335</v>
      </c>
      <c r="CC8">
        <v>5.7</v>
      </c>
      <c r="CD8">
        <v>6000</v>
      </c>
      <c r="CE8">
        <v>3.6</v>
      </c>
      <c r="CF8">
        <v>16</v>
      </c>
      <c r="CG8" t="s">
        <v>363</v>
      </c>
      <c r="CI8" t="s">
        <v>340</v>
      </c>
      <c r="CJ8">
        <v>6</v>
      </c>
      <c r="DH8" s="35">
        <v>0</v>
      </c>
    </row>
    <row r="9" spans="1:119" x14ac:dyDescent="0.45">
      <c r="A9" t="s">
        <v>104</v>
      </c>
      <c r="B9">
        <v>1322768</v>
      </c>
      <c r="C9" t="s">
        <v>80</v>
      </c>
      <c r="D9">
        <v>2014</v>
      </c>
      <c r="E9" t="s">
        <v>309</v>
      </c>
      <c r="F9" t="s">
        <v>310</v>
      </c>
      <c r="G9" t="s">
        <v>311</v>
      </c>
      <c r="H9" s="37" t="s">
        <v>312</v>
      </c>
      <c r="J9" t="s">
        <v>313</v>
      </c>
      <c r="K9" t="s">
        <v>314</v>
      </c>
      <c r="L9" s="33">
        <v>44173.736805555556</v>
      </c>
      <c r="M9" s="34">
        <v>218331.9</v>
      </c>
      <c r="N9" t="s">
        <v>315</v>
      </c>
      <c r="O9" s="9">
        <v>44278</v>
      </c>
      <c r="S9" t="s">
        <v>372</v>
      </c>
      <c r="T9" t="s">
        <v>373</v>
      </c>
      <c r="U9" t="s">
        <v>374</v>
      </c>
      <c r="V9" t="s">
        <v>375</v>
      </c>
      <c r="X9" t="s">
        <v>321</v>
      </c>
      <c r="Y9" s="35">
        <v>3255</v>
      </c>
      <c r="Z9" s="35">
        <v>42.91</v>
      </c>
      <c r="AA9" s="35">
        <v>0</v>
      </c>
      <c r="AB9" s="35">
        <v>0.01</v>
      </c>
      <c r="AC9" t="s">
        <v>376</v>
      </c>
      <c r="AD9">
        <v>0</v>
      </c>
      <c r="AE9" t="s">
        <v>323</v>
      </c>
      <c r="AG9" t="s">
        <v>324</v>
      </c>
      <c r="AH9" t="b">
        <v>1</v>
      </c>
      <c r="AI9" t="b">
        <v>1</v>
      </c>
      <c r="AJ9" t="s">
        <v>325</v>
      </c>
      <c r="AK9" t="s">
        <v>326</v>
      </c>
      <c r="AL9" t="s">
        <v>377</v>
      </c>
      <c r="AM9" t="s">
        <v>328</v>
      </c>
      <c r="AN9" t="s">
        <v>329</v>
      </c>
      <c r="AO9" t="s">
        <v>330</v>
      </c>
      <c r="AP9" t="s">
        <v>331</v>
      </c>
      <c r="AQ9" s="35">
        <v>30240</v>
      </c>
      <c r="AR9">
        <v>26</v>
      </c>
      <c r="AT9">
        <v>67</v>
      </c>
      <c r="AU9">
        <v>8.5</v>
      </c>
      <c r="AV9">
        <v>74.8</v>
      </c>
      <c r="AW9">
        <v>250.4</v>
      </c>
      <c r="AX9">
        <v>67</v>
      </c>
      <c r="AY9">
        <v>97</v>
      </c>
      <c r="AZ9">
        <v>163.1</v>
      </c>
      <c r="BC9" s="15">
        <v>7900</v>
      </c>
      <c r="BD9" s="15">
        <v>5312</v>
      </c>
      <c r="BE9" s="15">
        <v>7300</v>
      </c>
      <c r="BF9">
        <v>97.4</v>
      </c>
      <c r="BG9" s="15">
        <v>1930</v>
      </c>
      <c r="BI9" t="s">
        <v>332</v>
      </c>
      <c r="BJ9">
        <v>17</v>
      </c>
      <c r="BK9" t="s">
        <v>332</v>
      </c>
      <c r="BL9">
        <v>17</v>
      </c>
      <c r="BM9">
        <v>16</v>
      </c>
      <c r="BN9">
        <v>22</v>
      </c>
      <c r="BO9" s="37">
        <v>18</v>
      </c>
      <c r="BP9" t="s">
        <v>333</v>
      </c>
      <c r="BQ9" t="s">
        <v>334</v>
      </c>
      <c r="BR9" t="s">
        <v>335</v>
      </c>
      <c r="BS9" t="s">
        <v>336</v>
      </c>
      <c r="BT9">
        <v>3.6</v>
      </c>
      <c r="BU9" t="s">
        <v>337</v>
      </c>
      <c r="BV9">
        <v>10</v>
      </c>
      <c r="BW9">
        <v>6</v>
      </c>
      <c r="BX9">
        <v>3.5</v>
      </c>
      <c r="BY9" t="s">
        <v>338</v>
      </c>
      <c r="BZ9">
        <v>87</v>
      </c>
      <c r="CA9">
        <v>365</v>
      </c>
      <c r="CB9">
        <v>420</v>
      </c>
      <c r="CC9">
        <v>5.7</v>
      </c>
      <c r="CD9">
        <v>0</v>
      </c>
      <c r="CE9">
        <v>3.5</v>
      </c>
      <c r="CF9">
        <v>24</v>
      </c>
      <c r="CG9" t="s">
        <v>339</v>
      </c>
      <c r="CI9" t="s">
        <v>340</v>
      </c>
      <c r="CJ9">
        <v>6</v>
      </c>
      <c r="CM9">
        <v>114.8</v>
      </c>
      <c r="DH9" s="35">
        <v>0</v>
      </c>
    </row>
    <row r="10" spans="1:119" x14ac:dyDescent="0.45">
      <c r="A10" t="s">
        <v>105</v>
      </c>
      <c r="B10">
        <v>1322774</v>
      </c>
      <c r="C10" t="s">
        <v>80</v>
      </c>
      <c r="D10">
        <v>2018</v>
      </c>
      <c r="E10" t="s">
        <v>309</v>
      </c>
      <c r="F10" t="s">
        <v>310</v>
      </c>
      <c r="G10" t="s">
        <v>311</v>
      </c>
      <c r="H10" s="37" t="s">
        <v>378</v>
      </c>
      <c r="I10" t="s">
        <v>341</v>
      </c>
      <c r="J10" t="s">
        <v>313</v>
      </c>
      <c r="K10" t="s">
        <v>314</v>
      </c>
      <c r="L10" s="33">
        <v>44173.739583333336</v>
      </c>
      <c r="M10" s="15">
        <v>40661</v>
      </c>
      <c r="N10" t="s">
        <v>315</v>
      </c>
      <c r="O10" s="9">
        <v>44247</v>
      </c>
      <c r="S10" t="s">
        <v>316</v>
      </c>
      <c r="T10" t="s">
        <v>379</v>
      </c>
      <c r="U10" t="s">
        <v>380</v>
      </c>
      <c r="V10" t="s">
        <v>381</v>
      </c>
      <c r="X10" t="s">
        <v>321</v>
      </c>
      <c r="Y10" s="35">
        <v>350</v>
      </c>
      <c r="Z10" s="35">
        <v>61.91</v>
      </c>
      <c r="AA10" s="35">
        <v>0</v>
      </c>
      <c r="AB10" s="35">
        <v>0.01</v>
      </c>
      <c r="AC10" t="s">
        <v>382</v>
      </c>
      <c r="AD10">
        <v>0</v>
      </c>
      <c r="AE10" t="s">
        <v>323</v>
      </c>
      <c r="AG10" t="s">
        <v>324</v>
      </c>
      <c r="AH10" t="b">
        <v>1</v>
      </c>
      <c r="AI10" t="b">
        <v>1</v>
      </c>
      <c r="AJ10" t="s">
        <v>325</v>
      </c>
      <c r="AK10" t="s">
        <v>326</v>
      </c>
      <c r="AL10" t="s">
        <v>377</v>
      </c>
      <c r="AM10" t="s">
        <v>328</v>
      </c>
      <c r="AN10" t="s">
        <v>383</v>
      </c>
      <c r="AO10" t="s">
        <v>330</v>
      </c>
      <c r="AP10" t="s">
        <v>331</v>
      </c>
      <c r="AQ10" s="35">
        <v>35550</v>
      </c>
      <c r="AR10">
        <v>23</v>
      </c>
      <c r="AT10">
        <v>67.599999999999994</v>
      </c>
      <c r="AU10">
        <v>8.4</v>
      </c>
      <c r="AV10">
        <v>75.3</v>
      </c>
      <c r="AW10">
        <v>243.7</v>
      </c>
      <c r="AX10">
        <v>67.599999999999994</v>
      </c>
      <c r="AY10">
        <v>96.8</v>
      </c>
      <c r="AZ10">
        <v>156.80000000000001</v>
      </c>
      <c r="BC10" s="15">
        <v>7600</v>
      </c>
      <c r="BD10" s="15">
        <v>4627</v>
      </c>
      <c r="BE10" s="15">
        <v>6500</v>
      </c>
      <c r="BF10">
        <v>78.900000000000006</v>
      </c>
      <c r="BG10" s="15">
        <v>1820</v>
      </c>
      <c r="BI10" t="s">
        <v>356</v>
      </c>
      <c r="BJ10" t="s">
        <v>357</v>
      </c>
      <c r="BK10" t="s">
        <v>356</v>
      </c>
      <c r="BL10" t="s">
        <v>357</v>
      </c>
      <c r="BM10">
        <v>17</v>
      </c>
      <c r="BN10">
        <v>23</v>
      </c>
      <c r="BO10" s="37">
        <v>19</v>
      </c>
      <c r="BP10" t="s">
        <v>384</v>
      </c>
      <c r="BR10" t="s">
        <v>360</v>
      </c>
      <c r="BS10" t="s">
        <v>336</v>
      </c>
      <c r="BT10">
        <v>3.6</v>
      </c>
      <c r="BU10" t="s">
        <v>337</v>
      </c>
      <c r="BV10">
        <v>12</v>
      </c>
      <c r="BW10">
        <v>8</v>
      </c>
      <c r="BX10">
        <v>5</v>
      </c>
      <c r="BY10" t="s">
        <v>338</v>
      </c>
      <c r="BZ10">
        <v>87</v>
      </c>
      <c r="CA10">
        <v>395</v>
      </c>
      <c r="CB10">
        <v>400</v>
      </c>
      <c r="CC10">
        <v>8.3000000000000007</v>
      </c>
      <c r="CD10">
        <v>0</v>
      </c>
      <c r="CE10">
        <v>3.7</v>
      </c>
      <c r="CF10">
        <v>32</v>
      </c>
      <c r="CG10" t="s">
        <v>385</v>
      </c>
      <c r="CI10" t="s">
        <v>340</v>
      </c>
      <c r="CJ10">
        <v>10</v>
      </c>
      <c r="CK10">
        <v>51.9</v>
      </c>
      <c r="CM10">
        <v>131.80000000000001</v>
      </c>
      <c r="DH10" s="35">
        <v>0</v>
      </c>
    </row>
    <row r="11" spans="1:119" x14ac:dyDescent="0.45">
      <c r="A11" t="s">
        <v>108</v>
      </c>
      <c r="B11">
        <v>1322786</v>
      </c>
      <c r="C11" t="s">
        <v>81</v>
      </c>
      <c r="D11">
        <v>2014</v>
      </c>
      <c r="E11" t="s">
        <v>386</v>
      </c>
      <c r="F11" t="s">
        <v>387</v>
      </c>
      <c r="G11" t="s">
        <v>388</v>
      </c>
      <c r="H11" s="37" t="s">
        <v>389</v>
      </c>
      <c r="I11" t="s">
        <v>341</v>
      </c>
      <c r="J11" t="s">
        <v>313</v>
      </c>
      <c r="L11" s="33">
        <v>44173.75277777778</v>
      </c>
      <c r="M11" s="15">
        <v>201085</v>
      </c>
      <c r="N11" t="s">
        <v>315</v>
      </c>
      <c r="O11" s="9">
        <v>44247</v>
      </c>
      <c r="S11" t="s">
        <v>316</v>
      </c>
      <c r="T11" t="s">
        <v>390</v>
      </c>
      <c r="U11" t="s">
        <v>391</v>
      </c>
      <c r="V11" t="s">
        <v>392</v>
      </c>
      <c r="W11" t="s">
        <v>81</v>
      </c>
      <c r="X11" t="s">
        <v>321</v>
      </c>
      <c r="Y11" s="35">
        <v>3439.36</v>
      </c>
      <c r="Z11" s="35">
        <v>66.25</v>
      </c>
      <c r="AA11" s="35">
        <v>0</v>
      </c>
      <c r="AB11" s="35">
        <v>0.01</v>
      </c>
      <c r="AC11" t="s">
        <v>393</v>
      </c>
      <c r="AD11">
        <v>0</v>
      </c>
      <c r="AE11" t="s">
        <v>323</v>
      </c>
      <c r="AG11" t="s">
        <v>324</v>
      </c>
      <c r="AH11" t="b">
        <v>1</v>
      </c>
      <c r="AI11" t="b">
        <v>1</v>
      </c>
      <c r="AJ11" t="s">
        <v>325</v>
      </c>
      <c r="AK11" t="s">
        <v>326</v>
      </c>
      <c r="AL11" t="s">
        <v>394</v>
      </c>
      <c r="AM11" t="s">
        <v>328</v>
      </c>
      <c r="AN11" t="s">
        <v>329</v>
      </c>
      <c r="AO11" t="s">
        <v>330</v>
      </c>
      <c r="AP11" t="s">
        <v>331</v>
      </c>
      <c r="AQ11" s="35">
        <v>29395</v>
      </c>
      <c r="AR11">
        <v>26</v>
      </c>
      <c r="AT11">
        <v>68</v>
      </c>
      <c r="AU11">
        <v>8.6999999999999993</v>
      </c>
      <c r="AV11">
        <v>77.2</v>
      </c>
      <c r="AW11">
        <v>229</v>
      </c>
      <c r="AX11">
        <v>67.5</v>
      </c>
      <c r="AY11">
        <v>79.400000000000006</v>
      </c>
      <c r="AZ11">
        <v>140.5</v>
      </c>
      <c r="BC11" s="15">
        <v>4450</v>
      </c>
      <c r="BD11" s="15">
        <v>4871</v>
      </c>
      <c r="BE11" s="15">
        <v>6800</v>
      </c>
      <c r="BF11">
        <v>76.3</v>
      </c>
      <c r="BG11" s="15">
        <v>1920</v>
      </c>
      <c r="BI11" t="s">
        <v>395</v>
      </c>
      <c r="BJ11" t="s">
        <v>396</v>
      </c>
      <c r="BK11" t="s">
        <v>395</v>
      </c>
      <c r="BL11" t="s">
        <v>396</v>
      </c>
      <c r="BM11">
        <v>12</v>
      </c>
      <c r="BN11">
        <v>17</v>
      </c>
      <c r="BO11" s="37">
        <v>14</v>
      </c>
      <c r="BP11" t="s">
        <v>397</v>
      </c>
      <c r="BR11" t="s">
        <v>360</v>
      </c>
      <c r="BS11" t="s">
        <v>336</v>
      </c>
      <c r="BT11">
        <v>3.8</v>
      </c>
      <c r="BU11" t="s">
        <v>337</v>
      </c>
      <c r="BV11">
        <v>10.199999999999999</v>
      </c>
      <c r="BW11">
        <v>6</v>
      </c>
      <c r="BX11">
        <v>3.6</v>
      </c>
      <c r="BY11" t="s">
        <v>398</v>
      </c>
      <c r="BZ11">
        <v>87</v>
      </c>
      <c r="CA11">
        <v>305</v>
      </c>
      <c r="CB11">
        <v>269</v>
      </c>
      <c r="CC11">
        <v>5.7</v>
      </c>
      <c r="CD11">
        <v>6400</v>
      </c>
      <c r="CE11">
        <v>3.3</v>
      </c>
      <c r="CF11">
        <v>24</v>
      </c>
      <c r="CG11" t="s">
        <v>399</v>
      </c>
      <c r="CI11" t="s">
        <v>340</v>
      </c>
      <c r="CJ11">
        <v>8</v>
      </c>
      <c r="CL11">
        <v>116.6</v>
      </c>
      <c r="DH11" s="35">
        <v>0</v>
      </c>
    </row>
    <row r="12" spans="1:119" x14ac:dyDescent="0.45">
      <c r="A12" t="s">
        <v>109</v>
      </c>
      <c r="B12">
        <v>1322795</v>
      </c>
      <c r="C12" t="s">
        <v>81</v>
      </c>
      <c r="D12">
        <v>2012</v>
      </c>
      <c r="E12" t="s">
        <v>309</v>
      </c>
      <c r="F12" t="s">
        <v>400</v>
      </c>
      <c r="G12" t="s">
        <v>311</v>
      </c>
      <c r="H12" s="37" t="s">
        <v>401</v>
      </c>
      <c r="I12" t="s">
        <v>341</v>
      </c>
      <c r="J12" t="s">
        <v>313</v>
      </c>
      <c r="L12" s="33">
        <v>44173.763888888891</v>
      </c>
      <c r="M12" s="15">
        <v>195495</v>
      </c>
      <c r="N12" t="s">
        <v>315</v>
      </c>
      <c r="O12" s="9">
        <v>44248</v>
      </c>
      <c r="S12" t="s">
        <v>316</v>
      </c>
      <c r="T12" t="s">
        <v>402</v>
      </c>
      <c r="U12" t="s">
        <v>403</v>
      </c>
      <c r="V12" t="s">
        <v>404</v>
      </c>
      <c r="W12" t="s">
        <v>81</v>
      </c>
      <c r="X12" t="s">
        <v>321</v>
      </c>
      <c r="Y12" s="35">
        <v>54.89</v>
      </c>
      <c r="Z12" s="35">
        <v>0</v>
      </c>
      <c r="AA12" s="35">
        <v>0</v>
      </c>
      <c r="AB12" s="35">
        <v>0</v>
      </c>
      <c r="AC12" t="s">
        <v>405</v>
      </c>
      <c r="AD12">
        <v>0</v>
      </c>
      <c r="AE12" t="s">
        <v>323</v>
      </c>
      <c r="AG12" t="s">
        <v>324</v>
      </c>
      <c r="AH12" t="b">
        <v>1</v>
      </c>
      <c r="AI12" t="b">
        <v>1</v>
      </c>
      <c r="AJ12" t="s">
        <v>325</v>
      </c>
      <c r="AK12" t="s">
        <v>326</v>
      </c>
      <c r="AL12" t="s">
        <v>327</v>
      </c>
      <c r="AM12" t="s">
        <v>328</v>
      </c>
      <c r="AN12" t="s">
        <v>329</v>
      </c>
      <c r="AO12" t="s">
        <v>330</v>
      </c>
      <c r="AP12" t="s">
        <v>331</v>
      </c>
      <c r="AQ12" s="35">
        <v>31385</v>
      </c>
      <c r="AR12">
        <v>35</v>
      </c>
      <c r="AT12">
        <v>68.3</v>
      </c>
      <c r="AU12">
        <v>8.5</v>
      </c>
      <c r="AV12">
        <v>76.900000000000006</v>
      </c>
      <c r="AW12">
        <v>248.6</v>
      </c>
      <c r="AX12">
        <v>67.2</v>
      </c>
      <c r="AY12">
        <v>104.9</v>
      </c>
      <c r="AZ12">
        <v>158</v>
      </c>
      <c r="BC12" s="15">
        <v>12500</v>
      </c>
      <c r="BD12" s="15">
        <v>6283</v>
      </c>
      <c r="BE12" s="15">
        <v>10000</v>
      </c>
      <c r="BF12">
        <v>98</v>
      </c>
      <c r="BG12" s="15">
        <v>3800</v>
      </c>
      <c r="BI12" t="s">
        <v>406</v>
      </c>
      <c r="BJ12" t="s">
        <v>357</v>
      </c>
      <c r="BK12" t="s">
        <v>406</v>
      </c>
      <c r="BL12" t="s">
        <v>357</v>
      </c>
      <c r="BO12" s="37">
        <v>14</v>
      </c>
      <c r="BP12" t="s">
        <v>407</v>
      </c>
      <c r="BR12" t="s">
        <v>360</v>
      </c>
      <c r="BS12" t="s">
        <v>336</v>
      </c>
      <c r="BT12">
        <v>4</v>
      </c>
      <c r="BU12" t="s">
        <v>408</v>
      </c>
      <c r="BV12">
        <v>9.8000000000000007</v>
      </c>
      <c r="BW12">
        <v>8</v>
      </c>
      <c r="BX12">
        <v>6.2</v>
      </c>
      <c r="BY12" t="s">
        <v>409</v>
      </c>
      <c r="BZ12">
        <v>87</v>
      </c>
      <c r="CA12">
        <v>385</v>
      </c>
      <c r="CB12">
        <v>405</v>
      </c>
      <c r="CC12">
        <v>6.6</v>
      </c>
      <c r="CD12">
        <v>0</v>
      </c>
      <c r="CE12">
        <v>3.7</v>
      </c>
      <c r="CF12">
        <v>16</v>
      </c>
      <c r="CG12" t="s">
        <v>363</v>
      </c>
      <c r="CI12" t="s">
        <v>340</v>
      </c>
      <c r="CJ12">
        <v>6</v>
      </c>
      <c r="CM12">
        <v>113.3</v>
      </c>
      <c r="DH12" s="35">
        <v>0</v>
      </c>
      <c r="DO12" t="s">
        <v>410</v>
      </c>
    </row>
    <row r="13" spans="1:119" x14ac:dyDescent="0.45">
      <c r="A13" t="s">
        <v>110</v>
      </c>
      <c r="B13">
        <v>1324017</v>
      </c>
      <c r="C13" t="s">
        <v>81</v>
      </c>
      <c r="D13">
        <v>2014</v>
      </c>
      <c r="E13" t="s">
        <v>386</v>
      </c>
      <c r="F13" t="s">
        <v>387</v>
      </c>
      <c r="G13" t="s">
        <v>388</v>
      </c>
      <c r="H13" s="37" t="s">
        <v>389</v>
      </c>
      <c r="I13" t="s">
        <v>341</v>
      </c>
      <c r="J13" t="s">
        <v>313</v>
      </c>
      <c r="K13" t="s">
        <v>314</v>
      </c>
      <c r="L13" s="33">
        <v>44174.45208333333</v>
      </c>
      <c r="M13" s="34">
        <v>134123.4</v>
      </c>
      <c r="N13" t="s">
        <v>315</v>
      </c>
      <c r="O13" s="9">
        <v>44259</v>
      </c>
      <c r="S13" t="s">
        <v>316</v>
      </c>
      <c r="T13" t="s">
        <v>373</v>
      </c>
      <c r="U13" t="s">
        <v>411</v>
      </c>
      <c r="V13" t="s">
        <v>412</v>
      </c>
      <c r="W13" t="s">
        <v>81</v>
      </c>
      <c r="X13" t="s">
        <v>321</v>
      </c>
      <c r="Y13" s="35">
        <v>575.55999999999995</v>
      </c>
      <c r="Z13" s="35">
        <v>0</v>
      </c>
      <c r="AA13" s="35">
        <v>0</v>
      </c>
      <c r="AB13" s="35">
        <v>0.04</v>
      </c>
      <c r="AC13" t="s">
        <v>413</v>
      </c>
      <c r="AD13">
        <v>0</v>
      </c>
      <c r="AE13" t="s">
        <v>323</v>
      </c>
      <c r="AG13" t="s">
        <v>324</v>
      </c>
      <c r="AH13" t="b">
        <v>1</v>
      </c>
      <c r="AI13" t="b">
        <v>1</v>
      </c>
      <c r="AJ13" t="s">
        <v>325</v>
      </c>
      <c r="AK13" t="s">
        <v>326</v>
      </c>
      <c r="AL13" t="s">
        <v>394</v>
      </c>
      <c r="AM13" t="s">
        <v>328</v>
      </c>
      <c r="AN13" t="s">
        <v>329</v>
      </c>
      <c r="AO13" t="s">
        <v>330</v>
      </c>
      <c r="AP13" t="s">
        <v>331</v>
      </c>
      <c r="AQ13" s="35">
        <v>29395</v>
      </c>
      <c r="AR13">
        <v>26</v>
      </c>
      <c r="AT13">
        <v>68</v>
      </c>
      <c r="AU13">
        <v>8.6999999999999993</v>
      </c>
      <c r="AV13">
        <v>77.2</v>
      </c>
      <c r="AW13">
        <v>229</v>
      </c>
      <c r="AX13">
        <v>67.5</v>
      </c>
      <c r="AY13">
        <v>79.400000000000006</v>
      </c>
      <c r="AZ13">
        <v>140.5</v>
      </c>
      <c r="BC13" s="15">
        <v>4450</v>
      </c>
      <c r="BD13" s="15">
        <v>4871</v>
      </c>
      <c r="BE13" s="15">
        <v>6800</v>
      </c>
      <c r="BF13">
        <v>76.3</v>
      </c>
      <c r="BG13" s="15">
        <v>1920</v>
      </c>
      <c r="BI13" t="s">
        <v>395</v>
      </c>
      <c r="BJ13" t="s">
        <v>396</v>
      </c>
      <c r="BK13" t="s">
        <v>395</v>
      </c>
      <c r="BL13" t="s">
        <v>396</v>
      </c>
      <c r="BM13">
        <v>14</v>
      </c>
      <c r="BN13">
        <v>20</v>
      </c>
      <c r="BO13" s="37">
        <v>16</v>
      </c>
      <c r="BP13" t="s">
        <v>414</v>
      </c>
      <c r="BQ13" t="s">
        <v>415</v>
      </c>
      <c r="BR13" t="s">
        <v>360</v>
      </c>
      <c r="BS13" t="s">
        <v>336</v>
      </c>
      <c r="BT13">
        <v>3.9</v>
      </c>
      <c r="BU13" t="s">
        <v>361</v>
      </c>
      <c r="BV13">
        <v>10.5</v>
      </c>
      <c r="BW13">
        <v>8</v>
      </c>
      <c r="BX13">
        <v>5.7</v>
      </c>
      <c r="BY13" t="s">
        <v>398</v>
      </c>
      <c r="BZ13">
        <v>89</v>
      </c>
      <c r="CA13">
        <v>395</v>
      </c>
      <c r="CB13">
        <v>407</v>
      </c>
      <c r="CC13">
        <v>6.6</v>
      </c>
      <c r="CD13">
        <v>5800</v>
      </c>
      <c r="CE13">
        <v>3.6</v>
      </c>
      <c r="CF13">
        <v>16</v>
      </c>
      <c r="CG13" t="s">
        <v>339</v>
      </c>
      <c r="CI13" t="s">
        <v>340</v>
      </c>
      <c r="CJ13">
        <v>6</v>
      </c>
      <c r="CL13">
        <v>116.6</v>
      </c>
      <c r="DH13" s="35">
        <v>0</v>
      </c>
    </row>
    <row r="14" spans="1:119" x14ac:dyDescent="0.45">
      <c r="A14" t="s">
        <v>111</v>
      </c>
      <c r="B14">
        <v>1324019</v>
      </c>
      <c r="C14" t="s">
        <v>81</v>
      </c>
      <c r="D14">
        <v>2014</v>
      </c>
      <c r="E14" t="s">
        <v>386</v>
      </c>
      <c r="F14" t="s">
        <v>387</v>
      </c>
      <c r="G14" t="s">
        <v>388</v>
      </c>
      <c r="H14" s="37" t="s">
        <v>389</v>
      </c>
      <c r="I14" t="s">
        <v>341</v>
      </c>
      <c r="J14" t="s">
        <v>313</v>
      </c>
      <c r="K14" t="s">
        <v>314</v>
      </c>
      <c r="L14" s="33">
        <v>44174.453472222223</v>
      </c>
      <c r="M14" s="34">
        <v>149433.1</v>
      </c>
      <c r="N14" t="s">
        <v>315</v>
      </c>
      <c r="O14" s="9">
        <v>44278</v>
      </c>
      <c r="S14" t="s">
        <v>316</v>
      </c>
      <c r="T14" t="s">
        <v>416</v>
      </c>
      <c r="U14" t="s">
        <v>417</v>
      </c>
      <c r="V14" t="s">
        <v>418</v>
      </c>
      <c r="W14" t="s">
        <v>81</v>
      </c>
      <c r="X14" t="s">
        <v>321</v>
      </c>
      <c r="Y14" s="35">
        <v>164.16</v>
      </c>
      <c r="Z14" s="35">
        <v>0</v>
      </c>
      <c r="AA14" s="35">
        <v>0</v>
      </c>
      <c r="AB14" s="35">
        <v>0.01</v>
      </c>
      <c r="AC14" t="s">
        <v>419</v>
      </c>
      <c r="AD14">
        <v>0</v>
      </c>
      <c r="AE14" t="s">
        <v>323</v>
      </c>
      <c r="AG14" t="s">
        <v>324</v>
      </c>
      <c r="AH14" t="b">
        <v>1</v>
      </c>
      <c r="AI14" t="b">
        <v>1</v>
      </c>
      <c r="AJ14" t="s">
        <v>325</v>
      </c>
      <c r="AK14" t="s">
        <v>326</v>
      </c>
      <c r="AL14" t="s">
        <v>394</v>
      </c>
      <c r="AM14" t="s">
        <v>328</v>
      </c>
      <c r="AN14" t="s">
        <v>329</v>
      </c>
      <c r="AO14" t="s">
        <v>330</v>
      </c>
      <c r="AP14" t="s">
        <v>331</v>
      </c>
      <c r="AQ14" s="35">
        <v>29395</v>
      </c>
      <c r="AR14">
        <v>26</v>
      </c>
      <c r="AT14">
        <v>68</v>
      </c>
      <c r="AU14">
        <v>8.6999999999999993</v>
      </c>
      <c r="AV14">
        <v>77.2</v>
      </c>
      <c r="AW14">
        <v>229</v>
      </c>
      <c r="AX14">
        <v>67.5</v>
      </c>
      <c r="AY14">
        <v>79.400000000000006</v>
      </c>
      <c r="AZ14">
        <v>140.5</v>
      </c>
      <c r="BC14" s="15">
        <v>4450</v>
      </c>
      <c r="BD14" s="15">
        <v>4871</v>
      </c>
      <c r="BE14" s="15">
        <v>6800</v>
      </c>
      <c r="BF14">
        <v>76.3</v>
      </c>
      <c r="BG14" s="15">
        <v>1920</v>
      </c>
      <c r="BI14" t="s">
        <v>395</v>
      </c>
      <c r="BJ14" t="s">
        <v>396</v>
      </c>
      <c r="BK14" t="s">
        <v>395</v>
      </c>
      <c r="BL14" t="s">
        <v>396</v>
      </c>
      <c r="BM14">
        <v>14</v>
      </c>
      <c r="BN14">
        <v>20</v>
      </c>
      <c r="BO14" s="37">
        <v>16</v>
      </c>
      <c r="BP14" t="s">
        <v>414</v>
      </c>
      <c r="BQ14" t="s">
        <v>415</v>
      </c>
      <c r="BR14" t="s">
        <v>360</v>
      </c>
      <c r="BS14" t="s">
        <v>336</v>
      </c>
      <c r="BT14">
        <v>3.9</v>
      </c>
      <c r="BU14" t="s">
        <v>361</v>
      </c>
      <c r="BV14">
        <v>10.5</v>
      </c>
      <c r="BW14">
        <v>8</v>
      </c>
      <c r="BX14">
        <v>5.7</v>
      </c>
      <c r="BY14" t="s">
        <v>398</v>
      </c>
      <c r="BZ14">
        <v>89</v>
      </c>
      <c r="CA14">
        <v>395</v>
      </c>
      <c r="CB14">
        <v>407</v>
      </c>
      <c r="CC14">
        <v>6.6</v>
      </c>
      <c r="CD14">
        <v>5800</v>
      </c>
      <c r="CE14">
        <v>3.6</v>
      </c>
      <c r="CF14">
        <v>16</v>
      </c>
      <c r="CG14" t="s">
        <v>339</v>
      </c>
      <c r="CI14" t="s">
        <v>340</v>
      </c>
      <c r="CJ14">
        <v>6</v>
      </c>
      <c r="CL14">
        <v>116.6</v>
      </c>
      <c r="DH14" s="35">
        <v>0</v>
      </c>
    </row>
    <row r="15" spans="1:119" x14ac:dyDescent="0.45">
      <c r="A15" t="s">
        <v>112</v>
      </c>
      <c r="B15">
        <v>1324022</v>
      </c>
      <c r="C15" t="s">
        <v>81</v>
      </c>
      <c r="D15">
        <v>2012</v>
      </c>
      <c r="E15" t="s">
        <v>309</v>
      </c>
      <c r="F15" t="s">
        <v>400</v>
      </c>
      <c r="G15" t="s">
        <v>311</v>
      </c>
      <c r="H15" s="37" t="s">
        <v>401</v>
      </c>
      <c r="I15" t="s">
        <v>341</v>
      </c>
      <c r="J15" t="s">
        <v>313</v>
      </c>
      <c r="L15" s="33">
        <v>44174.455555555556</v>
      </c>
      <c r="M15" s="34">
        <v>203177.60000000001</v>
      </c>
      <c r="N15" t="s">
        <v>315</v>
      </c>
      <c r="O15" s="9">
        <v>44278</v>
      </c>
      <c r="S15" t="s">
        <v>316</v>
      </c>
      <c r="T15" t="s">
        <v>420</v>
      </c>
      <c r="U15" t="s">
        <v>421</v>
      </c>
      <c r="V15" t="s">
        <v>422</v>
      </c>
      <c r="W15" t="s">
        <v>81</v>
      </c>
      <c r="X15" t="s">
        <v>321</v>
      </c>
      <c r="Y15" s="35">
        <v>499.28</v>
      </c>
      <c r="Z15" s="35">
        <v>0</v>
      </c>
      <c r="AA15" s="35">
        <v>0</v>
      </c>
      <c r="AB15" s="35">
        <v>0.02</v>
      </c>
      <c r="AC15" t="s">
        <v>423</v>
      </c>
      <c r="AD15">
        <v>0</v>
      </c>
      <c r="AE15" t="s">
        <v>323</v>
      </c>
      <c r="AG15" t="s">
        <v>324</v>
      </c>
      <c r="AH15" t="b">
        <v>1</v>
      </c>
      <c r="AI15" t="b">
        <v>1</v>
      </c>
      <c r="AJ15" t="s">
        <v>325</v>
      </c>
      <c r="AK15" t="s">
        <v>326</v>
      </c>
      <c r="AL15" t="s">
        <v>327</v>
      </c>
      <c r="AM15" t="s">
        <v>328</v>
      </c>
      <c r="AN15" t="s">
        <v>329</v>
      </c>
      <c r="AO15" t="s">
        <v>330</v>
      </c>
      <c r="AP15" t="s">
        <v>331</v>
      </c>
      <c r="AQ15" s="35">
        <v>31385</v>
      </c>
      <c r="AR15">
        <v>35</v>
      </c>
      <c r="AT15">
        <v>68.3</v>
      </c>
      <c r="AU15">
        <v>8.5</v>
      </c>
      <c r="AV15">
        <v>76.900000000000006</v>
      </c>
      <c r="AW15">
        <v>248.6</v>
      </c>
      <c r="AX15">
        <v>67.2</v>
      </c>
      <c r="AY15">
        <v>104.9</v>
      </c>
      <c r="AZ15">
        <v>158</v>
      </c>
      <c r="BC15" s="15">
        <v>12500</v>
      </c>
      <c r="BD15" s="15">
        <v>6283</v>
      </c>
      <c r="BE15" s="15">
        <v>10000</v>
      </c>
      <c r="BF15">
        <v>98</v>
      </c>
      <c r="BG15" s="15">
        <v>3800</v>
      </c>
      <c r="BI15" t="s">
        <v>406</v>
      </c>
      <c r="BJ15" t="s">
        <v>357</v>
      </c>
      <c r="BK15" t="s">
        <v>406</v>
      </c>
      <c r="BL15" t="s">
        <v>357</v>
      </c>
      <c r="BO15" s="37">
        <v>14</v>
      </c>
      <c r="BP15" t="s">
        <v>407</v>
      </c>
      <c r="BR15" t="s">
        <v>360</v>
      </c>
      <c r="BS15" t="s">
        <v>336</v>
      </c>
      <c r="BT15">
        <v>4</v>
      </c>
      <c r="BU15" t="s">
        <v>408</v>
      </c>
      <c r="BV15">
        <v>9.8000000000000007</v>
      </c>
      <c r="BW15">
        <v>8</v>
      </c>
      <c r="BX15">
        <v>6.2</v>
      </c>
      <c r="BY15" t="s">
        <v>409</v>
      </c>
      <c r="BZ15">
        <v>87</v>
      </c>
      <c r="CA15">
        <v>385</v>
      </c>
      <c r="CB15">
        <v>405</v>
      </c>
      <c r="CC15">
        <v>6.6</v>
      </c>
      <c r="CD15">
        <v>0</v>
      </c>
      <c r="CE15">
        <v>3.7</v>
      </c>
      <c r="CF15">
        <v>16</v>
      </c>
      <c r="CG15" t="s">
        <v>363</v>
      </c>
      <c r="CI15" t="s">
        <v>340</v>
      </c>
      <c r="CJ15">
        <v>6</v>
      </c>
      <c r="CM15">
        <v>113.3</v>
      </c>
      <c r="DH15" s="35">
        <v>0</v>
      </c>
      <c r="DO15" t="s">
        <v>410</v>
      </c>
    </row>
    <row r="16" spans="1:119" x14ac:dyDescent="0.45">
      <c r="A16" t="s">
        <v>125</v>
      </c>
      <c r="B16">
        <v>1324047</v>
      </c>
      <c r="C16" t="s">
        <v>424</v>
      </c>
      <c r="D16">
        <v>2013</v>
      </c>
      <c r="E16" t="s">
        <v>309</v>
      </c>
      <c r="F16" t="s">
        <v>310</v>
      </c>
      <c r="G16" t="s">
        <v>311</v>
      </c>
      <c r="H16" s="37" t="s">
        <v>425</v>
      </c>
      <c r="I16" t="s">
        <v>341</v>
      </c>
      <c r="J16" t="s">
        <v>313</v>
      </c>
      <c r="K16" t="s">
        <v>314</v>
      </c>
      <c r="L16" s="33">
        <v>44174.472916666666</v>
      </c>
      <c r="M16" s="15">
        <v>227952</v>
      </c>
      <c r="N16" t="s">
        <v>315</v>
      </c>
      <c r="O16" s="9">
        <v>44237</v>
      </c>
      <c r="S16" t="s">
        <v>316</v>
      </c>
      <c r="T16" t="s">
        <v>426</v>
      </c>
      <c r="U16" t="s">
        <v>427</v>
      </c>
      <c r="V16" t="s">
        <v>428</v>
      </c>
      <c r="W16" t="s">
        <v>429</v>
      </c>
      <c r="X16" t="s">
        <v>321</v>
      </c>
      <c r="Y16" s="35">
        <v>14719.59</v>
      </c>
      <c r="Z16" s="35">
        <v>1330.88</v>
      </c>
      <c r="AA16" s="35">
        <v>0</v>
      </c>
      <c r="AB16" s="35">
        <v>7.0000000000000007E-2</v>
      </c>
      <c r="AC16" t="s">
        <v>430</v>
      </c>
      <c r="AD16">
        <v>0</v>
      </c>
      <c r="AE16" t="s">
        <v>323</v>
      </c>
      <c r="AG16" t="s">
        <v>324</v>
      </c>
      <c r="AH16" t="b">
        <v>1</v>
      </c>
      <c r="AI16" t="b">
        <v>1</v>
      </c>
      <c r="AJ16" t="s">
        <v>325</v>
      </c>
      <c r="AK16" t="s">
        <v>326</v>
      </c>
      <c r="AL16" t="s">
        <v>327</v>
      </c>
      <c r="AM16" t="s">
        <v>328</v>
      </c>
      <c r="AN16" t="s">
        <v>329</v>
      </c>
      <c r="AO16" t="s">
        <v>330</v>
      </c>
      <c r="AP16" t="s">
        <v>331</v>
      </c>
      <c r="AQ16" s="35">
        <v>28080</v>
      </c>
      <c r="AR16">
        <v>26</v>
      </c>
      <c r="AT16">
        <v>67</v>
      </c>
      <c r="AU16">
        <v>8.5</v>
      </c>
      <c r="AV16">
        <v>74.8</v>
      </c>
      <c r="AW16">
        <v>250.4</v>
      </c>
      <c r="AX16">
        <v>67</v>
      </c>
      <c r="AY16">
        <v>97</v>
      </c>
      <c r="AZ16">
        <v>163.1</v>
      </c>
      <c r="BC16" s="15">
        <v>7900</v>
      </c>
      <c r="BD16" s="15">
        <v>5312</v>
      </c>
      <c r="BE16" s="15">
        <v>7300</v>
      </c>
      <c r="BF16">
        <v>97.4</v>
      </c>
      <c r="BG16" s="15">
        <v>1930</v>
      </c>
      <c r="BI16" t="s">
        <v>332</v>
      </c>
      <c r="BJ16">
        <v>17</v>
      </c>
      <c r="BK16" t="s">
        <v>332</v>
      </c>
      <c r="BL16">
        <v>17</v>
      </c>
      <c r="BM16">
        <v>16</v>
      </c>
      <c r="BN16">
        <v>22</v>
      </c>
      <c r="BO16" s="37">
        <v>18</v>
      </c>
      <c r="BP16" t="s">
        <v>333</v>
      </c>
      <c r="BQ16" t="s">
        <v>334</v>
      </c>
      <c r="BR16" t="s">
        <v>335</v>
      </c>
      <c r="BS16" t="s">
        <v>336</v>
      </c>
      <c r="BT16">
        <v>3.6</v>
      </c>
      <c r="BU16" t="s">
        <v>337</v>
      </c>
      <c r="BV16">
        <v>10</v>
      </c>
      <c r="BW16">
        <v>6</v>
      </c>
      <c r="BX16">
        <v>3.5</v>
      </c>
      <c r="BY16" t="s">
        <v>338</v>
      </c>
      <c r="BZ16">
        <v>87</v>
      </c>
      <c r="CA16">
        <v>365</v>
      </c>
      <c r="CB16">
        <v>420</v>
      </c>
      <c r="CC16">
        <v>5.7</v>
      </c>
      <c r="CD16">
        <v>0</v>
      </c>
      <c r="CE16">
        <v>3.5</v>
      </c>
      <c r="CF16">
        <v>24</v>
      </c>
      <c r="CG16" t="s">
        <v>339</v>
      </c>
      <c r="CI16" t="s">
        <v>340</v>
      </c>
      <c r="CJ16">
        <v>6</v>
      </c>
      <c r="CM16">
        <v>114.8</v>
      </c>
      <c r="DH16" s="35">
        <v>0</v>
      </c>
    </row>
    <row r="17" spans="1:119" x14ac:dyDescent="0.45">
      <c r="A17" t="s">
        <v>130</v>
      </c>
      <c r="B17">
        <v>1324059</v>
      </c>
      <c r="C17" t="s">
        <v>424</v>
      </c>
      <c r="D17">
        <v>2011</v>
      </c>
      <c r="E17" t="s">
        <v>346</v>
      </c>
      <c r="F17" t="s">
        <v>347</v>
      </c>
      <c r="G17" t="s">
        <v>348</v>
      </c>
      <c r="H17" s="37" t="s">
        <v>349</v>
      </c>
      <c r="I17" t="s">
        <v>341</v>
      </c>
      <c r="J17" t="s">
        <v>313</v>
      </c>
      <c r="L17" s="33">
        <v>44174.488888888889</v>
      </c>
      <c r="M17" s="34">
        <v>273710.5</v>
      </c>
      <c r="N17" t="s">
        <v>315</v>
      </c>
      <c r="O17" s="9">
        <v>44216</v>
      </c>
      <c r="S17" t="s">
        <v>431</v>
      </c>
      <c r="T17" t="s">
        <v>373</v>
      </c>
      <c r="U17" t="s">
        <v>432</v>
      </c>
      <c r="V17" t="s">
        <v>433</v>
      </c>
      <c r="W17" t="s">
        <v>429</v>
      </c>
      <c r="X17" t="s">
        <v>321</v>
      </c>
      <c r="Y17" s="35">
        <v>17254.64</v>
      </c>
      <c r="Z17" s="35">
        <v>0</v>
      </c>
      <c r="AA17" s="35">
        <v>10000</v>
      </c>
      <c r="AB17" s="35">
        <v>0.09</v>
      </c>
      <c r="AC17" t="s">
        <v>434</v>
      </c>
      <c r="AD17">
        <v>0</v>
      </c>
      <c r="AE17" t="s">
        <v>323</v>
      </c>
      <c r="AG17" t="s">
        <v>324</v>
      </c>
      <c r="AH17" t="b">
        <v>1</v>
      </c>
      <c r="AI17" t="b">
        <v>1</v>
      </c>
      <c r="AJ17" t="s">
        <v>325</v>
      </c>
      <c r="AK17" t="s">
        <v>326</v>
      </c>
      <c r="AL17" t="s">
        <v>327</v>
      </c>
      <c r="AM17" t="s">
        <v>328</v>
      </c>
      <c r="AN17" t="s">
        <v>329</v>
      </c>
      <c r="AO17" t="s">
        <v>330</v>
      </c>
      <c r="AP17" t="s">
        <v>331</v>
      </c>
      <c r="AQ17" s="35">
        <v>27820</v>
      </c>
      <c r="AR17">
        <v>34</v>
      </c>
      <c r="AT17">
        <v>68.099999999999994</v>
      </c>
      <c r="AU17">
        <v>9</v>
      </c>
      <c r="AV17">
        <v>73.599999999999994</v>
      </c>
      <c r="AW17">
        <v>249.2</v>
      </c>
      <c r="AX17">
        <v>67</v>
      </c>
      <c r="AY17">
        <v>79.900000000000006</v>
      </c>
      <c r="AZ17">
        <v>157.5</v>
      </c>
      <c r="BC17" s="15">
        <v>6700</v>
      </c>
      <c r="BD17" s="15">
        <v>5244</v>
      </c>
      <c r="BE17" s="15">
        <v>6900</v>
      </c>
      <c r="BF17">
        <v>97.8</v>
      </c>
      <c r="BG17" s="15">
        <v>1656</v>
      </c>
      <c r="BI17" t="s">
        <v>356</v>
      </c>
      <c r="BJ17" t="s">
        <v>357</v>
      </c>
      <c r="BK17" t="s">
        <v>356</v>
      </c>
      <c r="BL17" t="s">
        <v>357</v>
      </c>
      <c r="BM17">
        <v>11</v>
      </c>
      <c r="BN17">
        <v>16</v>
      </c>
      <c r="BO17" s="37">
        <v>13</v>
      </c>
      <c r="BP17" t="s">
        <v>358</v>
      </c>
      <c r="BQ17" t="s">
        <v>359</v>
      </c>
      <c r="BR17" t="s">
        <v>360</v>
      </c>
      <c r="BS17" t="s">
        <v>336</v>
      </c>
      <c r="BT17">
        <v>3.8</v>
      </c>
      <c r="BU17" t="s">
        <v>361</v>
      </c>
      <c r="BV17">
        <v>9.9</v>
      </c>
      <c r="BW17">
        <v>8</v>
      </c>
      <c r="BX17">
        <v>5.3</v>
      </c>
      <c r="BY17" t="s">
        <v>362</v>
      </c>
      <c r="BZ17">
        <v>87</v>
      </c>
      <c r="CA17">
        <v>315</v>
      </c>
      <c r="CB17">
        <v>335</v>
      </c>
      <c r="CC17">
        <v>5.7</v>
      </c>
      <c r="CD17">
        <v>6000</v>
      </c>
      <c r="CE17">
        <v>3.6</v>
      </c>
      <c r="CF17">
        <v>16</v>
      </c>
      <c r="CG17" t="s">
        <v>363</v>
      </c>
      <c r="CI17" t="s">
        <v>340</v>
      </c>
      <c r="CJ17">
        <v>6</v>
      </c>
      <c r="DH17" s="35">
        <v>0</v>
      </c>
    </row>
    <row r="18" spans="1:119" x14ac:dyDescent="0.45">
      <c r="A18" t="s">
        <v>131</v>
      </c>
      <c r="B18">
        <v>1324061</v>
      </c>
      <c r="C18" t="s">
        <v>424</v>
      </c>
      <c r="D18">
        <v>2011</v>
      </c>
      <c r="E18" t="s">
        <v>435</v>
      </c>
      <c r="F18" t="s">
        <v>436</v>
      </c>
      <c r="G18" t="s">
        <v>348</v>
      </c>
      <c r="H18" s="37" t="s">
        <v>437</v>
      </c>
      <c r="I18" t="s">
        <v>341</v>
      </c>
      <c r="J18" t="s">
        <v>313</v>
      </c>
      <c r="K18" t="s">
        <v>314</v>
      </c>
      <c r="L18" s="33">
        <v>44174.490972222222</v>
      </c>
      <c r="M18" s="34">
        <v>266645.59999999998</v>
      </c>
      <c r="N18" t="s">
        <v>315</v>
      </c>
      <c r="O18" s="9">
        <v>44270</v>
      </c>
      <c r="S18" t="s">
        <v>438</v>
      </c>
      <c r="T18" t="s">
        <v>439</v>
      </c>
      <c r="U18" t="s">
        <v>440</v>
      </c>
      <c r="V18" t="s">
        <v>441</v>
      </c>
      <c r="W18" t="s">
        <v>429</v>
      </c>
      <c r="X18" t="s">
        <v>321</v>
      </c>
      <c r="Y18" s="35">
        <v>20684.79</v>
      </c>
      <c r="Z18" s="35">
        <v>1206.4000000000001</v>
      </c>
      <c r="AA18" s="35">
        <v>0</v>
      </c>
      <c r="AB18" s="35">
        <v>0.08</v>
      </c>
      <c r="AC18" t="s">
        <v>442</v>
      </c>
      <c r="AD18">
        <v>0</v>
      </c>
      <c r="AE18" t="s">
        <v>323</v>
      </c>
      <c r="AG18" t="s">
        <v>324</v>
      </c>
      <c r="AH18" t="b">
        <v>1</v>
      </c>
      <c r="AI18" t="b">
        <v>1</v>
      </c>
      <c r="AL18" t="s">
        <v>327</v>
      </c>
      <c r="AM18" t="s">
        <v>328</v>
      </c>
      <c r="AN18" t="s">
        <v>383</v>
      </c>
      <c r="AO18" t="s">
        <v>330</v>
      </c>
      <c r="AP18" t="s">
        <v>331</v>
      </c>
      <c r="AQ18" s="35">
        <v>32445</v>
      </c>
      <c r="AR18">
        <v>36</v>
      </c>
      <c r="AT18">
        <v>68.8</v>
      </c>
      <c r="AU18">
        <v>9.8000000000000007</v>
      </c>
      <c r="AV18">
        <v>78.3</v>
      </c>
      <c r="AW18">
        <v>240.2</v>
      </c>
      <c r="AX18">
        <v>67.3</v>
      </c>
      <c r="AY18">
        <v>80</v>
      </c>
      <c r="AZ18">
        <v>153.69999999999999</v>
      </c>
      <c r="BC18" s="15">
        <v>9700</v>
      </c>
      <c r="BD18" s="15">
        <v>5995</v>
      </c>
      <c r="BE18" s="15">
        <v>9500</v>
      </c>
      <c r="BF18">
        <v>78.8</v>
      </c>
      <c r="BG18" s="15">
        <v>3385</v>
      </c>
      <c r="BI18" t="s">
        <v>443</v>
      </c>
      <c r="BJ18" t="s">
        <v>357</v>
      </c>
      <c r="BK18" t="s">
        <v>443</v>
      </c>
      <c r="BL18" t="s">
        <v>357</v>
      </c>
      <c r="BO18" s="37">
        <v>14</v>
      </c>
      <c r="BP18" t="s">
        <v>444</v>
      </c>
      <c r="BR18" t="s">
        <v>360</v>
      </c>
      <c r="BS18" t="s">
        <v>336</v>
      </c>
      <c r="BT18">
        <v>4</v>
      </c>
      <c r="BU18" t="s">
        <v>361</v>
      </c>
      <c r="BV18">
        <v>9.6</v>
      </c>
      <c r="BW18">
        <v>8</v>
      </c>
      <c r="BX18">
        <v>6</v>
      </c>
      <c r="BY18" t="s">
        <v>409</v>
      </c>
      <c r="BZ18">
        <v>87</v>
      </c>
      <c r="CA18">
        <v>360</v>
      </c>
      <c r="CB18">
        <v>380</v>
      </c>
      <c r="CC18">
        <v>5.7</v>
      </c>
      <c r="CD18">
        <v>6000</v>
      </c>
      <c r="CE18">
        <v>3.6</v>
      </c>
      <c r="CF18">
        <v>16</v>
      </c>
      <c r="CG18" t="s">
        <v>363</v>
      </c>
      <c r="CI18" t="s">
        <v>340</v>
      </c>
      <c r="CJ18">
        <v>6</v>
      </c>
      <c r="DH18" s="35">
        <v>0</v>
      </c>
      <c r="DO18" t="s">
        <v>445</v>
      </c>
    </row>
    <row r="19" spans="1:119" x14ac:dyDescent="0.45">
      <c r="A19" t="s">
        <v>132</v>
      </c>
      <c r="B19">
        <v>1324062</v>
      </c>
      <c r="C19" t="s">
        <v>424</v>
      </c>
      <c r="D19">
        <v>2012</v>
      </c>
      <c r="E19" t="s">
        <v>309</v>
      </c>
      <c r="F19" t="s">
        <v>310</v>
      </c>
      <c r="G19" t="s">
        <v>311</v>
      </c>
      <c r="H19" s="37" t="s">
        <v>446</v>
      </c>
      <c r="I19" t="s">
        <v>341</v>
      </c>
      <c r="J19" t="s">
        <v>313</v>
      </c>
      <c r="K19" t="s">
        <v>314</v>
      </c>
      <c r="L19" s="33">
        <v>44174.493055555555</v>
      </c>
      <c r="M19" s="15">
        <v>233335</v>
      </c>
      <c r="N19" t="s">
        <v>315</v>
      </c>
      <c r="O19" s="9">
        <v>44277</v>
      </c>
      <c r="S19" t="s">
        <v>316</v>
      </c>
      <c r="T19" t="s">
        <v>447</v>
      </c>
      <c r="U19" t="s">
        <v>448</v>
      </c>
      <c r="V19" t="s">
        <v>449</v>
      </c>
      <c r="W19" t="s">
        <v>429</v>
      </c>
      <c r="X19" t="s">
        <v>321</v>
      </c>
      <c r="Y19" s="35">
        <v>27225.01</v>
      </c>
      <c r="Z19" s="35">
        <v>1017.96</v>
      </c>
      <c r="AA19" s="35">
        <v>0</v>
      </c>
      <c r="AB19" s="35">
        <v>0.12</v>
      </c>
      <c r="AC19" t="s">
        <v>450</v>
      </c>
      <c r="AD19">
        <v>0</v>
      </c>
      <c r="AE19" t="s">
        <v>323</v>
      </c>
      <c r="AG19" t="s">
        <v>324</v>
      </c>
      <c r="AH19" t="b">
        <v>1</v>
      </c>
      <c r="AI19" t="b">
        <v>1</v>
      </c>
      <c r="AJ19" t="s">
        <v>325</v>
      </c>
      <c r="AK19" t="s">
        <v>326</v>
      </c>
      <c r="AL19" t="s">
        <v>327</v>
      </c>
      <c r="AM19" t="s">
        <v>328</v>
      </c>
      <c r="AN19" t="s">
        <v>329</v>
      </c>
      <c r="AO19" t="s">
        <v>330</v>
      </c>
      <c r="AP19" t="s">
        <v>331</v>
      </c>
      <c r="AQ19" s="35">
        <v>27420</v>
      </c>
      <c r="AR19">
        <v>26</v>
      </c>
      <c r="AT19">
        <v>67</v>
      </c>
      <c r="AU19">
        <v>9.4</v>
      </c>
      <c r="AV19">
        <v>75.900000000000006</v>
      </c>
      <c r="AW19">
        <v>250.3</v>
      </c>
      <c r="AX19">
        <v>67</v>
      </c>
      <c r="AY19">
        <v>97</v>
      </c>
      <c r="AZ19">
        <v>163</v>
      </c>
      <c r="BC19" s="15">
        <v>7900</v>
      </c>
      <c r="BD19" s="15">
        <v>5312</v>
      </c>
      <c r="BE19" s="15">
        <v>7300</v>
      </c>
      <c r="BF19">
        <v>97.4</v>
      </c>
      <c r="BG19" s="15">
        <v>1930</v>
      </c>
      <c r="BI19" t="s">
        <v>332</v>
      </c>
      <c r="BJ19">
        <v>17</v>
      </c>
      <c r="BK19" t="s">
        <v>332</v>
      </c>
      <c r="BL19">
        <v>17</v>
      </c>
      <c r="BM19">
        <v>16</v>
      </c>
      <c r="BN19">
        <v>22</v>
      </c>
      <c r="BO19" s="37">
        <v>18</v>
      </c>
      <c r="BP19" t="s">
        <v>333</v>
      </c>
      <c r="BQ19" t="s">
        <v>334</v>
      </c>
      <c r="BR19" t="s">
        <v>335</v>
      </c>
      <c r="BS19" t="s">
        <v>336</v>
      </c>
      <c r="BT19">
        <v>3.6</v>
      </c>
      <c r="BU19" t="s">
        <v>337</v>
      </c>
      <c r="BV19">
        <v>10</v>
      </c>
      <c r="BW19">
        <v>6</v>
      </c>
      <c r="BX19">
        <v>3.5</v>
      </c>
      <c r="BY19" t="s">
        <v>338</v>
      </c>
      <c r="BZ19">
        <v>87</v>
      </c>
      <c r="CA19">
        <v>365</v>
      </c>
      <c r="CB19">
        <v>420</v>
      </c>
      <c r="CC19">
        <v>5.7</v>
      </c>
      <c r="CD19">
        <v>0</v>
      </c>
      <c r="CE19">
        <v>3.5</v>
      </c>
      <c r="CF19">
        <v>24</v>
      </c>
      <c r="CG19" t="s">
        <v>339</v>
      </c>
      <c r="CI19" t="s">
        <v>340</v>
      </c>
      <c r="CJ19">
        <v>6</v>
      </c>
      <c r="CM19">
        <v>115.6</v>
      </c>
      <c r="DH19" s="35">
        <v>0</v>
      </c>
    </row>
    <row r="20" spans="1:119" x14ac:dyDescent="0.45">
      <c r="A20" t="s">
        <v>133</v>
      </c>
      <c r="B20">
        <v>1324064</v>
      </c>
      <c r="C20" t="s">
        <v>424</v>
      </c>
      <c r="D20">
        <v>2013</v>
      </c>
      <c r="E20" t="s">
        <v>309</v>
      </c>
      <c r="F20" t="s">
        <v>310</v>
      </c>
      <c r="G20" t="s">
        <v>311</v>
      </c>
      <c r="H20" s="37" t="s">
        <v>425</v>
      </c>
      <c r="I20" t="s">
        <v>341</v>
      </c>
      <c r="J20" t="s">
        <v>313</v>
      </c>
      <c r="K20" t="s">
        <v>314</v>
      </c>
      <c r="L20" s="33">
        <v>44174.493750000001</v>
      </c>
      <c r="M20" s="15">
        <v>199395</v>
      </c>
      <c r="N20" t="s">
        <v>315</v>
      </c>
      <c r="O20" s="9">
        <v>44174</v>
      </c>
      <c r="S20" t="s">
        <v>316</v>
      </c>
      <c r="T20" t="s">
        <v>451</v>
      </c>
      <c r="U20" t="s">
        <v>452</v>
      </c>
      <c r="V20" t="s">
        <v>453</v>
      </c>
      <c r="W20" t="s">
        <v>454</v>
      </c>
      <c r="X20" t="s">
        <v>321</v>
      </c>
      <c r="Y20" s="35">
        <v>18893.41</v>
      </c>
      <c r="Z20" s="35">
        <v>1264.1199999999999</v>
      </c>
      <c r="AA20" s="35">
        <v>0</v>
      </c>
      <c r="AB20" s="35">
        <v>0.1</v>
      </c>
      <c r="AC20" t="s">
        <v>455</v>
      </c>
      <c r="AD20">
        <v>0</v>
      </c>
      <c r="AE20" t="s">
        <v>323</v>
      </c>
      <c r="AG20" t="s">
        <v>324</v>
      </c>
      <c r="AH20" t="b">
        <v>1</v>
      </c>
      <c r="AI20" t="b">
        <v>1</v>
      </c>
      <c r="AJ20" t="s">
        <v>325</v>
      </c>
      <c r="AK20" t="s">
        <v>326</v>
      </c>
      <c r="AL20" t="s">
        <v>327</v>
      </c>
      <c r="AM20" t="s">
        <v>328</v>
      </c>
      <c r="AN20" t="s">
        <v>329</v>
      </c>
      <c r="AO20" t="s">
        <v>330</v>
      </c>
      <c r="AP20" t="s">
        <v>331</v>
      </c>
      <c r="AQ20" s="35">
        <v>28080</v>
      </c>
      <c r="AR20">
        <v>26</v>
      </c>
      <c r="AT20">
        <v>67</v>
      </c>
      <c r="AU20">
        <v>8.5</v>
      </c>
      <c r="AV20">
        <v>74.8</v>
      </c>
      <c r="AW20">
        <v>250.4</v>
      </c>
      <c r="AX20">
        <v>67</v>
      </c>
      <c r="AY20">
        <v>97</v>
      </c>
      <c r="AZ20">
        <v>163.1</v>
      </c>
      <c r="BC20" s="15">
        <v>7900</v>
      </c>
      <c r="BD20" s="15">
        <v>5312</v>
      </c>
      <c r="BE20" s="15">
        <v>7300</v>
      </c>
      <c r="BF20">
        <v>97.4</v>
      </c>
      <c r="BG20" s="15">
        <v>1930</v>
      </c>
      <c r="BI20" t="s">
        <v>332</v>
      </c>
      <c r="BJ20">
        <v>17</v>
      </c>
      <c r="BK20" t="s">
        <v>332</v>
      </c>
      <c r="BL20">
        <v>17</v>
      </c>
      <c r="BM20">
        <v>16</v>
      </c>
      <c r="BN20">
        <v>22</v>
      </c>
      <c r="BO20" s="37">
        <v>18</v>
      </c>
      <c r="BP20" t="s">
        <v>333</v>
      </c>
      <c r="BQ20" t="s">
        <v>334</v>
      </c>
      <c r="BR20" t="s">
        <v>335</v>
      </c>
      <c r="BS20" t="s">
        <v>336</v>
      </c>
      <c r="BT20">
        <v>3.6</v>
      </c>
      <c r="BU20" t="s">
        <v>337</v>
      </c>
      <c r="BV20">
        <v>10</v>
      </c>
      <c r="BW20">
        <v>6</v>
      </c>
      <c r="BX20">
        <v>3.5</v>
      </c>
      <c r="BY20" t="s">
        <v>338</v>
      </c>
      <c r="BZ20">
        <v>87</v>
      </c>
      <c r="CA20">
        <v>365</v>
      </c>
      <c r="CB20">
        <v>420</v>
      </c>
      <c r="CC20">
        <v>5.7</v>
      </c>
      <c r="CD20">
        <v>0</v>
      </c>
      <c r="CE20">
        <v>3.5</v>
      </c>
      <c r="CF20">
        <v>24</v>
      </c>
      <c r="CG20" t="s">
        <v>339</v>
      </c>
      <c r="CI20" t="s">
        <v>340</v>
      </c>
      <c r="CJ20">
        <v>6</v>
      </c>
      <c r="CM20">
        <v>114.8</v>
      </c>
      <c r="DH20" s="35">
        <v>0</v>
      </c>
    </row>
    <row r="21" spans="1:119" x14ac:dyDescent="0.45">
      <c r="A21" t="s">
        <v>134</v>
      </c>
      <c r="B21">
        <v>1326382</v>
      </c>
      <c r="C21" t="s">
        <v>424</v>
      </c>
      <c r="D21">
        <v>2013</v>
      </c>
      <c r="E21" t="s">
        <v>309</v>
      </c>
      <c r="F21" t="s">
        <v>310</v>
      </c>
      <c r="G21" t="s">
        <v>311</v>
      </c>
      <c r="H21" s="37" t="s">
        <v>425</v>
      </c>
      <c r="I21" t="s">
        <v>341</v>
      </c>
      <c r="J21" t="s">
        <v>313</v>
      </c>
      <c r="K21" t="s">
        <v>314</v>
      </c>
      <c r="L21" s="33">
        <v>44179.456250000003</v>
      </c>
      <c r="M21" s="34">
        <v>231245.7</v>
      </c>
      <c r="N21" t="s">
        <v>315</v>
      </c>
      <c r="O21" s="9">
        <v>44278</v>
      </c>
      <c r="S21" t="s">
        <v>316</v>
      </c>
      <c r="T21" t="s">
        <v>456</v>
      </c>
      <c r="U21" t="s">
        <v>457</v>
      </c>
      <c r="V21" t="s">
        <v>458</v>
      </c>
      <c r="W21" t="s">
        <v>429</v>
      </c>
      <c r="X21" t="s">
        <v>321</v>
      </c>
      <c r="Y21" s="35">
        <v>19812.349999999999</v>
      </c>
      <c r="Z21" s="35">
        <v>0</v>
      </c>
      <c r="AA21" s="35">
        <v>0</v>
      </c>
      <c r="AB21" s="35">
        <v>0.08</v>
      </c>
      <c r="AC21" t="s">
        <v>459</v>
      </c>
      <c r="AD21">
        <v>0</v>
      </c>
      <c r="AE21" t="s">
        <v>323</v>
      </c>
      <c r="AG21" t="s">
        <v>324</v>
      </c>
      <c r="AH21" t="b">
        <v>1</v>
      </c>
      <c r="AI21" t="b">
        <v>1</v>
      </c>
      <c r="AJ21" t="s">
        <v>325</v>
      </c>
      <c r="AK21" t="s">
        <v>326</v>
      </c>
      <c r="AL21" t="s">
        <v>377</v>
      </c>
      <c r="AM21" t="s">
        <v>328</v>
      </c>
      <c r="AN21" t="s">
        <v>329</v>
      </c>
      <c r="AO21" t="s">
        <v>330</v>
      </c>
      <c r="AP21" t="s">
        <v>331</v>
      </c>
      <c r="AQ21" s="35">
        <v>28080</v>
      </c>
      <c r="AR21">
        <v>26</v>
      </c>
      <c r="AT21">
        <v>67</v>
      </c>
      <c r="AU21">
        <v>8.5</v>
      </c>
      <c r="AV21">
        <v>74.8</v>
      </c>
      <c r="AW21">
        <v>250.4</v>
      </c>
      <c r="AX21">
        <v>67</v>
      </c>
      <c r="AY21">
        <v>97</v>
      </c>
      <c r="AZ21">
        <v>163.1</v>
      </c>
      <c r="BC21" s="15">
        <v>7900</v>
      </c>
      <c r="BD21" s="15">
        <v>5312</v>
      </c>
      <c r="BE21" s="15">
        <v>7300</v>
      </c>
      <c r="BF21">
        <v>97.4</v>
      </c>
      <c r="BG21" s="15">
        <v>1930</v>
      </c>
      <c r="BI21" t="s">
        <v>332</v>
      </c>
      <c r="BJ21">
        <v>17</v>
      </c>
      <c r="BK21" t="s">
        <v>332</v>
      </c>
      <c r="BL21">
        <v>17</v>
      </c>
      <c r="BM21">
        <v>16</v>
      </c>
      <c r="BN21">
        <v>22</v>
      </c>
      <c r="BO21" s="37">
        <v>18</v>
      </c>
      <c r="BP21" t="s">
        <v>333</v>
      </c>
      <c r="BQ21" t="s">
        <v>334</v>
      </c>
      <c r="BR21" t="s">
        <v>335</v>
      </c>
      <c r="BS21" t="s">
        <v>336</v>
      </c>
      <c r="BT21">
        <v>3.6</v>
      </c>
      <c r="BU21" t="s">
        <v>337</v>
      </c>
      <c r="BV21">
        <v>10</v>
      </c>
      <c r="BW21">
        <v>6</v>
      </c>
      <c r="BX21">
        <v>3.5</v>
      </c>
      <c r="BY21" t="s">
        <v>338</v>
      </c>
      <c r="BZ21">
        <v>87</v>
      </c>
      <c r="CA21">
        <v>365</v>
      </c>
      <c r="CB21">
        <v>420</v>
      </c>
      <c r="CC21">
        <v>5.7</v>
      </c>
      <c r="CD21">
        <v>0</v>
      </c>
      <c r="CE21">
        <v>3.5</v>
      </c>
      <c r="CF21">
        <v>24</v>
      </c>
      <c r="CG21" t="s">
        <v>339</v>
      </c>
      <c r="CI21" t="s">
        <v>340</v>
      </c>
      <c r="CJ21">
        <v>6</v>
      </c>
      <c r="CM21">
        <v>114.8</v>
      </c>
      <c r="DH21" s="35">
        <v>0</v>
      </c>
    </row>
    <row r="22" spans="1:119" x14ac:dyDescent="0.45">
      <c r="A22" t="s">
        <v>135</v>
      </c>
      <c r="B22">
        <v>1326419</v>
      </c>
      <c r="C22" t="s">
        <v>424</v>
      </c>
      <c r="D22">
        <v>2014</v>
      </c>
      <c r="E22" t="s">
        <v>309</v>
      </c>
      <c r="F22" t="s">
        <v>310</v>
      </c>
      <c r="G22" t="s">
        <v>311</v>
      </c>
      <c r="H22" s="37" t="s">
        <v>312</v>
      </c>
      <c r="I22" t="s">
        <v>341</v>
      </c>
      <c r="J22" t="s">
        <v>313</v>
      </c>
      <c r="K22" t="s">
        <v>314</v>
      </c>
      <c r="L22" s="33">
        <v>44179.457638888889</v>
      </c>
      <c r="M22" s="34">
        <v>169598.2</v>
      </c>
      <c r="N22" t="s">
        <v>315</v>
      </c>
      <c r="O22" s="9">
        <v>44278</v>
      </c>
      <c r="S22" t="s">
        <v>316</v>
      </c>
      <c r="T22" t="s">
        <v>460</v>
      </c>
      <c r="U22" t="s">
        <v>461</v>
      </c>
      <c r="V22" t="s">
        <v>462</v>
      </c>
      <c r="W22" t="s">
        <v>429</v>
      </c>
      <c r="X22" t="s">
        <v>321</v>
      </c>
      <c r="Y22" s="35">
        <v>7536.57</v>
      </c>
      <c r="Z22" s="35">
        <v>1572.37</v>
      </c>
      <c r="AA22" s="35">
        <v>0</v>
      </c>
      <c r="AB22" s="35">
        <v>0.05</v>
      </c>
      <c r="AC22" t="s">
        <v>463</v>
      </c>
      <c r="AD22">
        <v>0</v>
      </c>
      <c r="AE22" t="s">
        <v>323</v>
      </c>
      <c r="AG22" t="s">
        <v>324</v>
      </c>
      <c r="AH22" t="b">
        <v>1</v>
      </c>
      <c r="AI22" t="b">
        <v>1</v>
      </c>
      <c r="AJ22" t="s">
        <v>325</v>
      </c>
      <c r="AK22" t="s">
        <v>326</v>
      </c>
      <c r="AL22" t="s">
        <v>394</v>
      </c>
      <c r="AM22" t="s">
        <v>328</v>
      </c>
      <c r="AN22" t="s">
        <v>329</v>
      </c>
      <c r="AO22" t="s">
        <v>330</v>
      </c>
      <c r="AP22" t="s">
        <v>331</v>
      </c>
      <c r="AQ22" s="35">
        <v>30240</v>
      </c>
      <c r="AR22">
        <v>26</v>
      </c>
      <c r="AT22">
        <v>67</v>
      </c>
      <c r="AU22">
        <v>8.5</v>
      </c>
      <c r="AV22">
        <v>74.8</v>
      </c>
      <c r="AW22">
        <v>250.4</v>
      </c>
      <c r="AX22">
        <v>67</v>
      </c>
      <c r="AY22">
        <v>97</v>
      </c>
      <c r="AZ22">
        <v>163.1</v>
      </c>
      <c r="BC22" s="15">
        <v>7900</v>
      </c>
      <c r="BD22" s="15">
        <v>5312</v>
      </c>
      <c r="BE22" s="15">
        <v>7300</v>
      </c>
      <c r="BF22">
        <v>97.4</v>
      </c>
      <c r="BG22" s="15">
        <v>1930</v>
      </c>
      <c r="BI22" t="s">
        <v>332</v>
      </c>
      <c r="BJ22">
        <v>17</v>
      </c>
      <c r="BK22" t="s">
        <v>332</v>
      </c>
      <c r="BL22">
        <v>17</v>
      </c>
      <c r="BM22">
        <v>16</v>
      </c>
      <c r="BN22">
        <v>22</v>
      </c>
      <c r="BO22" s="37">
        <v>18</v>
      </c>
      <c r="BP22" t="s">
        <v>333</v>
      </c>
      <c r="BQ22" t="s">
        <v>334</v>
      </c>
      <c r="BR22" t="s">
        <v>335</v>
      </c>
      <c r="BS22" t="s">
        <v>336</v>
      </c>
      <c r="BT22">
        <v>3.6</v>
      </c>
      <c r="BU22" t="s">
        <v>337</v>
      </c>
      <c r="BV22">
        <v>10</v>
      </c>
      <c r="BW22">
        <v>6</v>
      </c>
      <c r="BX22">
        <v>3.5</v>
      </c>
      <c r="BY22" t="s">
        <v>338</v>
      </c>
      <c r="BZ22">
        <v>87</v>
      </c>
      <c r="CA22">
        <v>365</v>
      </c>
      <c r="CB22">
        <v>420</v>
      </c>
      <c r="CC22">
        <v>5.7</v>
      </c>
      <c r="CD22">
        <v>0</v>
      </c>
      <c r="CE22">
        <v>3.5</v>
      </c>
      <c r="CF22">
        <v>24</v>
      </c>
      <c r="CG22" t="s">
        <v>339</v>
      </c>
      <c r="CI22" t="s">
        <v>340</v>
      </c>
      <c r="CJ22">
        <v>6</v>
      </c>
      <c r="CM22">
        <v>114.8</v>
      </c>
      <c r="DH22" s="35">
        <v>0</v>
      </c>
    </row>
    <row r="23" spans="1:119" x14ac:dyDescent="0.45">
      <c r="A23" t="s">
        <v>136</v>
      </c>
      <c r="B23">
        <v>1326449</v>
      </c>
      <c r="C23" t="s">
        <v>424</v>
      </c>
      <c r="D23">
        <v>2014</v>
      </c>
      <c r="E23" t="s">
        <v>309</v>
      </c>
      <c r="F23" t="s">
        <v>310</v>
      </c>
      <c r="G23" t="s">
        <v>311</v>
      </c>
      <c r="H23" s="37" t="s">
        <v>312</v>
      </c>
      <c r="I23" t="s">
        <v>341</v>
      </c>
      <c r="J23" t="s">
        <v>313</v>
      </c>
      <c r="K23" t="s">
        <v>314</v>
      </c>
      <c r="L23" s="33">
        <v>44179.459027777775</v>
      </c>
      <c r="M23" s="15">
        <v>188545</v>
      </c>
      <c r="N23" t="s">
        <v>315</v>
      </c>
      <c r="O23" s="9">
        <v>44179</v>
      </c>
      <c r="S23" t="s">
        <v>372</v>
      </c>
      <c r="T23" t="s">
        <v>373</v>
      </c>
      <c r="U23" t="s">
        <v>464</v>
      </c>
      <c r="V23" t="s">
        <v>465</v>
      </c>
      <c r="W23" t="s">
        <v>429</v>
      </c>
      <c r="X23" t="s">
        <v>321</v>
      </c>
      <c r="Y23" s="35">
        <v>5820.78</v>
      </c>
      <c r="Z23" s="35">
        <v>0</v>
      </c>
      <c r="AA23" s="35">
        <v>0</v>
      </c>
      <c r="AB23" s="35">
        <v>0.03</v>
      </c>
      <c r="AC23" t="s">
        <v>466</v>
      </c>
      <c r="AD23">
        <v>0</v>
      </c>
      <c r="AE23" t="s">
        <v>323</v>
      </c>
      <c r="AG23" t="s">
        <v>324</v>
      </c>
      <c r="AH23" t="b">
        <v>1</v>
      </c>
      <c r="AI23" t="b">
        <v>1</v>
      </c>
      <c r="AJ23" t="s">
        <v>325</v>
      </c>
      <c r="AK23" t="s">
        <v>326</v>
      </c>
      <c r="AL23" t="s">
        <v>394</v>
      </c>
      <c r="AM23" t="s">
        <v>328</v>
      </c>
      <c r="AN23" t="s">
        <v>329</v>
      </c>
      <c r="AO23" t="s">
        <v>330</v>
      </c>
      <c r="AP23" t="s">
        <v>331</v>
      </c>
      <c r="AQ23" s="35">
        <v>30240</v>
      </c>
      <c r="AR23">
        <v>26</v>
      </c>
      <c r="AT23">
        <v>67</v>
      </c>
      <c r="AU23">
        <v>8.5</v>
      </c>
      <c r="AV23">
        <v>74.8</v>
      </c>
      <c r="AW23">
        <v>250.4</v>
      </c>
      <c r="AX23">
        <v>67</v>
      </c>
      <c r="AY23">
        <v>97</v>
      </c>
      <c r="AZ23">
        <v>163.1</v>
      </c>
      <c r="BC23" s="15">
        <v>7900</v>
      </c>
      <c r="BD23" s="15">
        <v>5312</v>
      </c>
      <c r="BE23" s="15">
        <v>7300</v>
      </c>
      <c r="BF23">
        <v>97.4</v>
      </c>
      <c r="BG23" s="15">
        <v>1930</v>
      </c>
      <c r="BI23" t="s">
        <v>332</v>
      </c>
      <c r="BJ23">
        <v>17</v>
      </c>
      <c r="BK23" t="s">
        <v>332</v>
      </c>
      <c r="BL23">
        <v>17</v>
      </c>
      <c r="BM23">
        <v>16</v>
      </c>
      <c r="BN23">
        <v>22</v>
      </c>
      <c r="BO23" s="37">
        <v>18</v>
      </c>
      <c r="BP23" t="s">
        <v>333</v>
      </c>
      <c r="BQ23" t="s">
        <v>334</v>
      </c>
      <c r="BR23" t="s">
        <v>335</v>
      </c>
      <c r="BS23" t="s">
        <v>336</v>
      </c>
      <c r="BT23">
        <v>3.6</v>
      </c>
      <c r="BU23" t="s">
        <v>337</v>
      </c>
      <c r="BV23">
        <v>10</v>
      </c>
      <c r="BW23">
        <v>6</v>
      </c>
      <c r="BX23">
        <v>3.5</v>
      </c>
      <c r="BY23" t="s">
        <v>338</v>
      </c>
      <c r="BZ23">
        <v>87</v>
      </c>
      <c r="CA23">
        <v>365</v>
      </c>
      <c r="CB23">
        <v>420</v>
      </c>
      <c r="CC23">
        <v>5.7</v>
      </c>
      <c r="CD23">
        <v>0</v>
      </c>
      <c r="CE23">
        <v>3.5</v>
      </c>
      <c r="CF23">
        <v>24</v>
      </c>
      <c r="CG23" t="s">
        <v>339</v>
      </c>
      <c r="CI23" t="s">
        <v>340</v>
      </c>
      <c r="CJ23">
        <v>6</v>
      </c>
      <c r="CM23">
        <v>114.8</v>
      </c>
      <c r="DH23" s="35">
        <v>0</v>
      </c>
    </row>
    <row r="24" spans="1:119" x14ac:dyDescent="0.45">
      <c r="A24" t="s">
        <v>137</v>
      </c>
      <c r="B24">
        <v>1326450</v>
      </c>
      <c r="C24" t="s">
        <v>424</v>
      </c>
      <c r="D24">
        <v>2014</v>
      </c>
      <c r="E24" t="s">
        <v>309</v>
      </c>
      <c r="F24" t="s">
        <v>310</v>
      </c>
      <c r="G24" t="s">
        <v>311</v>
      </c>
      <c r="H24" s="37" t="s">
        <v>312</v>
      </c>
      <c r="I24" t="s">
        <v>341</v>
      </c>
      <c r="J24" t="s">
        <v>313</v>
      </c>
      <c r="K24" t="s">
        <v>314</v>
      </c>
      <c r="L24" s="33">
        <v>44179.462500000001</v>
      </c>
      <c r="M24" s="34">
        <v>197885.8</v>
      </c>
      <c r="N24" t="s">
        <v>315</v>
      </c>
      <c r="O24" s="9">
        <v>44278</v>
      </c>
      <c r="S24" t="s">
        <v>316</v>
      </c>
      <c r="T24" t="s">
        <v>373</v>
      </c>
      <c r="U24" t="s">
        <v>467</v>
      </c>
      <c r="V24" t="s">
        <v>468</v>
      </c>
      <c r="W24" t="s">
        <v>429</v>
      </c>
      <c r="X24" t="s">
        <v>321</v>
      </c>
      <c r="Y24" s="35">
        <v>10330.11</v>
      </c>
      <c r="Z24" s="35">
        <v>0</v>
      </c>
      <c r="AA24" s="35">
        <v>0</v>
      </c>
      <c r="AB24" s="35">
        <v>0.05</v>
      </c>
      <c r="AC24" t="s">
        <v>469</v>
      </c>
      <c r="AD24">
        <v>0</v>
      </c>
      <c r="AE24" t="s">
        <v>323</v>
      </c>
      <c r="AG24" t="s">
        <v>324</v>
      </c>
      <c r="AH24" t="b">
        <v>1</v>
      </c>
      <c r="AI24" t="b">
        <v>1</v>
      </c>
      <c r="AJ24" t="s">
        <v>325</v>
      </c>
      <c r="AK24" t="s">
        <v>326</v>
      </c>
      <c r="AL24" t="s">
        <v>377</v>
      </c>
      <c r="AM24" t="s">
        <v>328</v>
      </c>
      <c r="AN24" t="s">
        <v>329</v>
      </c>
      <c r="AO24" t="s">
        <v>330</v>
      </c>
      <c r="AP24" t="s">
        <v>331</v>
      </c>
      <c r="AQ24" s="35">
        <v>30240</v>
      </c>
      <c r="AR24">
        <v>26</v>
      </c>
      <c r="AT24">
        <v>67</v>
      </c>
      <c r="AU24">
        <v>8.5</v>
      </c>
      <c r="AV24">
        <v>74.8</v>
      </c>
      <c r="AW24">
        <v>250.4</v>
      </c>
      <c r="AX24">
        <v>67</v>
      </c>
      <c r="AY24">
        <v>97</v>
      </c>
      <c r="AZ24">
        <v>163.1</v>
      </c>
      <c r="BC24" s="15">
        <v>7900</v>
      </c>
      <c r="BD24" s="15">
        <v>5312</v>
      </c>
      <c r="BE24" s="15">
        <v>7300</v>
      </c>
      <c r="BF24">
        <v>97.4</v>
      </c>
      <c r="BG24" s="15">
        <v>1930</v>
      </c>
      <c r="BI24" t="s">
        <v>332</v>
      </c>
      <c r="BJ24">
        <v>17</v>
      </c>
      <c r="BK24" t="s">
        <v>332</v>
      </c>
      <c r="BL24">
        <v>17</v>
      </c>
      <c r="BM24">
        <v>16</v>
      </c>
      <c r="BN24">
        <v>22</v>
      </c>
      <c r="BO24" s="37">
        <v>18</v>
      </c>
      <c r="BP24" t="s">
        <v>333</v>
      </c>
      <c r="BQ24" t="s">
        <v>334</v>
      </c>
      <c r="BR24" t="s">
        <v>335</v>
      </c>
      <c r="BS24" t="s">
        <v>336</v>
      </c>
      <c r="BT24">
        <v>3.6</v>
      </c>
      <c r="BU24" t="s">
        <v>337</v>
      </c>
      <c r="BV24">
        <v>10</v>
      </c>
      <c r="BW24">
        <v>6</v>
      </c>
      <c r="BX24">
        <v>3.5</v>
      </c>
      <c r="BY24" t="s">
        <v>338</v>
      </c>
      <c r="BZ24">
        <v>87</v>
      </c>
      <c r="CA24">
        <v>365</v>
      </c>
      <c r="CB24">
        <v>420</v>
      </c>
      <c r="CC24">
        <v>5.7</v>
      </c>
      <c r="CD24">
        <v>0</v>
      </c>
      <c r="CE24">
        <v>3.5</v>
      </c>
      <c r="CF24">
        <v>24</v>
      </c>
      <c r="CG24" t="s">
        <v>339</v>
      </c>
      <c r="CI24" t="s">
        <v>340</v>
      </c>
      <c r="CJ24">
        <v>6</v>
      </c>
      <c r="CM24">
        <v>114.8</v>
      </c>
      <c r="DH24" s="35">
        <v>0</v>
      </c>
    </row>
    <row r="25" spans="1:119" x14ac:dyDescent="0.45">
      <c r="A25" t="s">
        <v>126</v>
      </c>
      <c r="B25">
        <v>1326461</v>
      </c>
      <c r="C25" t="s">
        <v>424</v>
      </c>
      <c r="D25">
        <v>2011</v>
      </c>
      <c r="E25" t="s">
        <v>309</v>
      </c>
      <c r="F25" t="s">
        <v>310</v>
      </c>
      <c r="G25" t="s">
        <v>311</v>
      </c>
      <c r="H25" s="37" t="s">
        <v>470</v>
      </c>
      <c r="I25" t="s">
        <v>341</v>
      </c>
      <c r="J25" t="s">
        <v>313</v>
      </c>
      <c r="K25" t="s">
        <v>314</v>
      </c>
      <c r="L25" s="33">
        <v>44179.479861111111</v>
      </c>
      <c r="M25" s="34">
        <v>235578.6</v>
      </c>
      <c r="N25" t="s">
        <v>315</v>
      </c>
      <c r="O25" s="9">
        <v>44279</v>
      </c>
      <c r="S25" t="s">
        <v>316</v>
      </c>
      <c r="T25" t="s">
        <v>471</v>
      </c>
      <c r="U25" t="s">
        <v>472</v>
      </c>
      <c r="V25" t="s">
        <v>473</v>
      </c>
      <c r="W25" t="s">
        <v>429</v>
      </c>
      <c r="X25" t="s">
        <v>321</v>
      </c>
      <c r="Y25" s="35">
        <v>15223.24</v>
      </c>
      <c r="Z25" s="35">
        <v>1085.8800000000001</v>
      </c>
      <c r="AA25" s="35">
        <v>0</v>
      </c>
      <c r="AB25" s="35">
        <v>0.06</v>
      </c>
      <c r="AC25" t="s">
        <v>474</v>
      </c>
      <c r="AD25">
        <v>0</v>
      </c>
      <c r="AE25" t="s">
        <v>323</v>
      </c>
      <c r="AG25" t="s">
        <v>324</v>
      </c>
      <c r="AH25" t="b">
        <v>1</v>
      </c>
      <c r="AI25" t="b">
        <v>1</v>
      </c>
      <c r="AJ25" t="s">
        <v>325</v>
      </c>
      <c r="AK25" t="s">
        <v>326</v>
      </c>
      <c r="AL25" t="s">
        <v>354</v>
      </c>
      <c r="AM25" t="s">
        <v>328</v>
      </c>
      <c r="AN25" t="s">
        <v>329</v>
      </c>
      <c r="AO25" t="s">
        <v>330</v>
      </c>
      <c r="AP25" t="s">
        <v>331</v>
      </c>
      <c r="AQ25" s="35">
        <v>26915</v>
      </c>
      <c r="AR25">
        <v>26</v>
      </c>
      <c r="AT25">
        <v>67</v>
      </c>
      <c r="AU25">
        <v>9.4</v>
      </c>
      <c r="AV25">
        <v>75.900000000000006</v>
      </c>
      <c r="AW25">
        <v>250.3</v>
      </c>
      <c r="AX25">
        <v>67</v>
      </c>
      <c r="AY25">
        <v>97</v>
      </c>
      <c r="AZ25">
        <v>163</v>
      </c>
      <c r="BC25" s="15">
        <v>9600</v>
      </c>
      <c r="BD25" s="15">
        <v>5469</v>
      </c>
      <c r="BE25" s="15">
        <v>8200</v>
      </c>
      <c r="BF25">
        <v>97.4</v>
      </c>
      <c r="BG25" s="15">
        <v>2660</v>
      </c>
      <c r="BI25" t="s">
        <v>332</v>
      </c>
      <c r="BJ25">
        <v>17</v>
      </c>
      <c r="BK25" t="s">
        <v>332</v>
      </c>
      <c r="BL25">
        <v>17</v>
      </c>
      <c r="BM25">
        <v>16</v>
      </c>
      <c r="BN25">
        <v>22</v>
      </c>
      <c r="BO25" s="37">
        <v>18</v>
      </c>
      <c r="BP25" t="s">
        <v>333</v>
      </c>
      <c r="BQ25" t="s">
        <v>334</v>
      </c>
      <c r="BR25" t="s">
        <v>335</v>
      </c>
      <c r="BS25" t="s">
        <v>336</v>
      </c>
      <c r="BT25">
        <v>3.6</v>
      </c>
      <c r="BU25" t="s">
        <v>337</v>
      </c>
      <c r="BV25">
        <v>10</v>
      </c>
      <c r="BW25">
        <v>6</v>
      </c>
      <c r="BX25">
        <v>3.5</v>
      </c>
      <c r="BY25" t="s">
        <v>338</v>
      </c>
      <c r="BZ25">
        <v>87</v>
      </c>
      <c r="CA25">
        <v>365</v>
      </c>
      <c r="CB25">
        <v>420</v>
      </c>
      <c r="CC25">
        <v>5.7</v>
      </c>
      <c r="CD25">
        <v>0</v>
      </c>
      <c r="CE25">
        <v>3.5</v>
      </c>
      <c r="CF25">
        <v>24</v>
      </c>
      <c r="CG25" t="s">
        <v>339</v>
      </c>
      <c r="CI25" t="s">
        <v>340</v>
      </c>
      <c r="CJ25">
        <v>6</v>
      </c>
      <c r="CM25">
        <v>115.6</v>
      </c>
      <c r="DH25" s="35">
        <v>0</v>
      </c>
    </row>
    <row r="26" spans="1:119" x14ac:dyDescent="0.45">
      <c r="A26" t="s">
        <v>127</v>
      </c>
      <c r="B26">
        <v>1326462</v>
      </c>
      <c r="C26" t="s">
        <v>424</v>
      </c>
      <c r="D26">
        <v>2013</v>
      </c>
      <c r="E26" t="s">
        <v>309</v>
      </c>
      <c r="F26" t="s">
        <v>310</v>
      </c>
      <c r="G26" t="s">
        <v>311</v>
      </c>
      <c r="H26" s="37" t="s">
        <v>425</v>
      </c>
      <c r="I26" t="s">
        <v>341</v>
      </c>
      <c r="J26" t="s">
        <v>313</v>
      </c>
      <c r="K26" t="s">
        <v>314</v>
      </c>
      <c r="L26" s="33">
        <v>44179.481249999997</v>
      </c>
      <c r="M26" s="15">
        <v>177679</v>
      </c>
      <c r="N26" t="s">
        <v>315</v>
      </c>
      <c r="O26" s="9">
        <v>44279</v>
      </c>
      <c r="S26" t="s">
        <v>372</v>
      </c>
      <c r="T26" t="s">
        <v>373</v>
      </c>
      <c r="U26" t="s">
        <v>475</v>
      </c>
      <c r="V26" t="s">
        <v>476</v>
      </c>
      <c r="W26" t="s">
        <v>429</v>
      </c>
      <c r="X26" t="s">
        <v>321</v>
      </c>
      <c r="Y26" s="35">
        <v>11781.63</v>
      </c>
      <c r="Z26" s="35">
        <v>0</v>
      </c>
      <c r="AA26" s="35">
        <v>0</v>
      </c>
      <c r="AB26" s="35">
        <v>0.06</v>
      </c>
      <c r="AC26" t="s">
        <v>477</v>
      </c>
      <c r="AD26">
        <v>0</v>
      </c>
      <c r="AE26" t="s">
        <v>323</v>
      </c>
      <c r="AG26" t="s">
        <v>324</v>
      </c>
      <c r="AH26" t="b">
        <v>1</v>
      </c>
      <c r="AI26" t="b">
        <v>1</v>
      </c>
      <c r="AJ26" t="s">
        <v>325</v>
      </c>
      <c r="AK26" t="s">
        <v>326</v>
      </c>
      <c r="AL26" t="s">
        <v>354</v>
      </c>
      <c r="AM26" t="s">
        <v>328</v>
      </c>
      <c r="AN26" t="s">
        <v>329</v>
      </c>
      <c r="AO26" t="s">
        <v>330</v>
      </c>
      <c r="AP26" t="s">
        <v>331</v>
      </c>
      <c r="AQ26" s="35">
        <v>28080</v>
      </c>
      <c r="AR26">
        <v>26</v>
      </c>
      <c r="AT26">
        <v>67</v>
      </c>
      <c r="AU26">
        <v>8.5</v>
      </c>
      <c r="AV26">
        <v>74.8</v>
      </c>
      <c r="AW26">
        <v>250.4</v>
      </c>
      <c r="AX26">
        <v>67</v>
      </c>
      <c r="AY26">
        <v>97</v>
      </c>
      <c r="AZ26">
        <v>163.1</v>
      </c>
      <c r="BC26" s="15">
        <v>7900</v>
      </c>
      <c r="BD26" s="15">
        <v>5312</v>
      </c>
      <c r="BE26" s="15">
        <v>7300</v>
      </c>
      <c r="BF26">
        <v>97.4</v>
      </c>
      <c r="BG26" s="15">
        <v>1930</v>
      </c>
      <c r="BI26" t="s">
        <v>332</v>
      </c>
      <c r="BJ26">
        <v>17</v>
      </c>
      <c r="BK26" t="s">
        <v>332</v>
      </c>
      <c r="BL26">
        <v>17</v>
      </c>
      <c r="BM26">
        <v>16</v>
      </c>
      <c r="BN26">
        <v>22</v>
      </c>
      <c r="BO26" s="37">
        <v>18</v>
      </c>
      <c r="BP26" t="s">
        <v>333</v>
      </c>
      <c r="BQ26" t="s">
        <v>334</v>
      </c>
      <c r="BR26" t="s">
        <v>335</v>
      </c>
      <c r="BS26" t="s">
        <v>336</v>
      </c>
      <c r="BT26">
        <v>3.6</v>
      </c>
      <c r="BU26" t="s">
        <v>337</v>
      </c>
      <c r="BV26">
        <v>10</v>
      </c>
      <c r="BW26">
        <v>6</v>
      </c>
      <c r="BX26">
        <v>3.5</v>
      </c>
      <c r="BY26" t="s">
        <v>338</v>
      </c>
      <c r="BZ26">
        <v>87</v>
      </c>
      <c r="CA26">
        <v>365</v>
      </c>
      <c r="CB26">
        <v>420</v>
      </c>
      <c r="CC26">
        <v>5.7</v>
      </c>
      <c r="CD26">
        <v>0</v>
      </c>
      <c r="CE26">
        <v>3.5</v>
      </c>
      <c r="CF26">
        <v>24</v>
      </c>
      <c r="CG26" t="s">
        <v>339</v>
      </c>
      <c r="CI26" t="s">
        <v>340</v>
      </c>
      <c r="CJ26">
        <v>6</v>
      </c>
      <c r="CM26">
        <v>114.8</v>
      </c>
      <c r="DH26" s="35">
        <v>0</v>
      </c>
    </row>
    <row r="27" spans="1:119" x14ac:dyDescent="0.45">
      <c r="A27" t="s">
        <v>128</v>
      </c>
      <c r="B27">
        <v>1326463</v>
      </c>
      <c r="C27" t="s">
        <v>424</v>
      </c>
      <c r="D27">
        <v>2011</v>
      </c>
      <c r="E27" t="s">
        <v>435</v>
      </c>
      <c r="F27" t="s">
        <v>436</v>
      </c>
      <c r="G27" t="s">
        <v>348</v>
      </c>
      <c r="H27" s="37" t="s">
        <v>437</v>
      </c>
      <c r="I27" t="s">
        <v>341</v>
      </c>
      <c r="J27" t="s">
        <v>313</v>
      </c>
      <c r="K27" t="s">
        <v>314</v>
      </c>
      <c r="L27" s="33">
        <v>44179.486111111109</v>
      </c>
      <c r="M27" s="34">
        <v>245289.4</v>
      </c>
      <c r="N27" t="s">
        <v>315</v>
      </c>
      <c r="O27" s="9">
        <v>44264</v>
      </c>
      <c r="S27" t="s">
        <v>438</v>
      </c>
      <c r="T27" t="s">
        <v>373</v>
      </c>
      <c r="U27" t="s">
        <v>478</v>
      </c>
      <c r="V27" t="s">
        <v>479</v>
      </c>
      <c r="W27" t="s">
        <v>429</v>
      </c>
      <c r="X27" t="s">
        <v>321</v>
      </c>
      <c r="Y27" s="35">
        <v>15125.38</v>
      </c>
      <c r="Z27" s="35">
        <v>1114.24</v>
      </c>
      <c r="AA27" s="35">
        <v>0</v>
      </c>
      <c r="AB27" s="35">
        <v>0.06</v>
      </c>
      <c r="AC27" t="s">
        <v>480</v>
      </c>
      <c r="AD27">
        <v>0</v>
      </c>
      <c r="AE27" t="s">
        <v>323</v>
      </c>
      <c r="AG27" t="s">
        <v>324</v>
      </c>
      <c r="AH27" t="b">
        <v>1</v>
      </c>
      <c r="AI27" t="b">
        <v>1</v>
      </c>
      <c r="AL27" t="s">
        <v>327</v>
      </c>
      <c r="AM27" t="s">
        <v>328</v>
      </c>
      <c r="AN27" t="s">
        <v>383</v>
      </c>
      <c r="AO27" t="s">
        <v>330</v>
      </c>
      <c r="AP27" t="s">
        <v>331</v>
      </c>
      <c r="AQ27" s="35">
        <v>32445</v>
      </c>
      <c r="AR27">
        <v>36</v>
      </c>
      <c r="AT27">
        <v>68.8</v>
      </c>
      <c r="AU27">
        <v>9.8000000000000007</v>
      </c>
      <c r="AV27">
        <v>78.3</v>
      </c>
      <c r="AW27">
        <v>240.2</v>
      </c>
      <c r="AX27">
        <v>67.3</v>
      </c>
      <c r="AY27">
        <v>80</v>
      </c>
      <c r="AZ27">
        <v>153.69999999999999</v>
      </c>
      <c r="BC27" s="15">
        <v>9700</v>
      </c>
      <c r="BD27" s="15">
        <v>5995</v>
      </c>
      <c r="BE27" s="15">
        <v>9500</v>
      </c>
      <c r="BF27">
        <v>78.8</v>
      </c>
      <c r="BG27" s="15">
        <v>3385</v>
      </c>
      <c r="BI27" t="s">
        <v>443</v>
      </c>
      <c r="BJ27" t="s">
        <v>357</v>
      </c>
      <c r="BK27" t="s">
        <v>443</v>
      </c>
      <c r="BL27" t="s">
        <v>357</v>
      </c>
      <c r="BO27" s="37">
        <v>14</v>
      </c>
      <c r="BP27" t="s">
        <v>444</v>
      </c>
      <c r="BR27" t="s">
        <v>360</v>
      </c>
      <c r="BS27" t="s">
        <v>336</v>
      </c>
      <c r="BT27">
        <v>4</v>
      </c>
      <c r="BU27" t="s">
        <v>361</v>
      </c>
      <c r="BV27">
        <v>9.6</v>
      </c>
      <c r="BW27">
        <v>8</v>
      </c>
      <c r="BX27">
        <v>6</v>
      </c>
      <c r="BY27" t="s">
        <v>409</v>
      </c>
      <c r="BZ27">
        <v>87</v>
      </c>
      <c r="CA27">
        <v>360</v>
      </c>
      <c r="CB27">
        <v>380</v>
      </c>
      <c r="CC27">
        <v>5.7</v>
      </c>
      <c r="CD27">
        <v>6000</v>
      </c>
      <c r="CE27">
        <v>3.6</v>
      </c>
      <c r="CF27">
        <v>16</v>
      </c>
      <c r="CG27" t="s">
        <v>363</v>
      </c>
      <c r="CI27" t="s">
        <v>340</v>
      </c>
      <c r="CJ27">
        <v>6</v>
      </c>
      <c r="DH27" s="35">
        <v>0</v>
      </c>
      <c r="DO27" t="s">
        <v>445</v>
      </c>
    </row>
    <row r="28" spans="1:119" x14ac:dyDescent="0.45">
      <c r="A28" t="s">
        <v>129</v>
      </c>
      <c r="B28">
        <v>1326484</v>
      </c>
      <c r="C28" t="s">
        <v>424</v>
      </c>
      <c r="D28">
        <v>2011</v>
      </c>
      <c r="E28" t="s">
        <v>309</v>
      </c>
      <c r="F28" t="s">
        <v>310</v>
      </c>
      <c r="G28" t="s">
        <v>311</v>
      </c>
      <c r="H28" s="37" t="s">
        <v>470</v>
      </c>
      <c r="I28" t="s">
        <v>341</v>
      </c>
      <c r="J28" t="s">
        <v>313</v>
      </c>
      <c r="L28" s="33">
        <v>44179.5</v>
      </c>
      <c r="M28" s="34">
        <v>259137.1</v>
      </c>
      <c r="N28" t="s">
        <v>315</v>
      </c>
      <c r="O28" s="9">
        <v>44279</v>
      </c>
      <c r="S28" t="s">
        <v>438</v>
      </c>
      <c r="T28" t="s">
        <v>373</v>
      </c>
      <c r="U28" t="s">
        <v>481</v>
      </c>
      <c r="V28" t="s">
        <v>482</v>
      </c>
      <c r="W28" t="s">
        <v>429</v>
      </c>
      <c r="X28" t="s">
        <v>321</v>
      </c>
      <c r="Y28" s="35">
        <v>28216.74</v>
      </c>
      <c r="Z28" s="35">
        <v>1425.86</v>
      </c>
      <c r="AA28" s="35">
        <v>0</v>
      </c>
      <c r="AB28" s="35">
        <v>0.11</v>
      </c>
      <c r="AC28" t="s">
        <v>483</v>
      </c>
      <c r="AD28">
        <v>0</v>
      </c>
      <c r="AE28" t="s">
        <v>323</v>
      </c>
      <c r="AG28" t="s">
        <v>324</v>
      </c>
      <c r="AH28" t="b">
        <v>1</v>
      </c>
      <c r="AI28" t="b">
        <v>1</v>
      </c>
      <c r="AL28" t="s">
        <v>327</v>
      </c>
      <c r="AM28" t="s">
        <v>328</v>
      </c>
      <c r="AN28" t="s">
        <v>329</v>
      </c>
      <c r="AO28" t="s">
        <v>330</v>
      </c>
      <c r="AP28" t="s">
        <v>331</v>
      </c>
      <c r="AQ28" s="35">
        <v>26915</v>
      </c>
      <c r="AR28">
        <v>26</v>
      </c>
      <c r="AT28">
        <v>67</v>
      </c>
      <c r="AU28">
        <v>9.4</v>
      </c>
      <c r="AV28">
        <v>75.900000000000006</v>
      </c>
      <c r="AW28">
        <v>250.3</v>
      </c>
      <c r="AX28">
        <v>67</v>
      </c>
      <c r="AY28">
        <v>97</v>
      </c>
      <c r="AZ28">
        <v>163</v>
      </c>
      <c r="BC28" s="15">
        <v>9600</v>
      </c>
      <c r="BD28" s="15">
        <v>5469</v>
      </c>
      <c r="BE28" s="15">
        <v>8200</v>
      </c>
      <c r="BF28">
        <v>97.4</v>
      </c>
      <c r="BG28" s="15">
        <v>2660</v>
      </c>
      <c r="BI28" t="s">
        <v>332</v>
      </c>
      <c r="BJ28">
        <v>17</v>
      </c>
      <c r="BK28" t="s">
        <v>332</v>
      </c>
      <c r="BL28">
        <v>17</v>
      </c>
      <c r="BM28">
        <v>11</v>
      </c>
      <c r="BN28">
        <v>15</v>
      </c>
      <c r="BO28" s="37">
        <v>13</v>
      </c>
      <c r="BP28" t="s">
        <v>484</v>
      </c>
      <c r="BR28" t="s">
        <v>360</v>
      </c>
      <c r="BS28" t="s">
        <v>336</v>
      </c>
      <c r="BT28">
        <v>3.6</v>
      </c>
      <c r="BU28" t="s">
        <v>337</v>
      </c>
      <c r="BV28">
        <v>10.5</v>
      </c>
      <c r="BW28">
        <v>8</v>
      </c>
      <c r="BX28">
        <v>5</v>
      </c>
      <c r="BY28" t="s">
        <v>398</v>
      </c>
      <c r="BZ28">
        <v>87</v>
      </c>
      <c r="CA28">
        <v>360</v>
      </c>
      <c r="CB28">
        <v>380</v>
      </c>
      <c r="CC28">
        <v>7.6</v>
      </c>
      <c r="CD28">
        <v>0</v>
      </c>
      <c r="CE28">
        <v>3.7</v>
      </c>
      <c r="CF28">
        <v>32</v>
      </c>
      <c r="CG28" t="s">
        <v>339</v>
      </c>
      <c r="CI28" t="s">
        <v>340</v>
      </c>
      <c r="CJ28">
        <v>6</v>
      </c>
      <c r="CM28">
        <v>115.6</v>
      </c>
      <c r="DH28" s="35">
        <v>0</v>
      </c>
    </row>
    <row r="29" spans="1:119" x14ac:dyDescent="0.45">
      <c r="A29" t="s">
        <v>485</v>
      </c>
      <c r="B29">
        <v>1328052</v>
      </c>
      <c r="C29" t="s">
        <v>81</v>
      </c>
      <c r="D29">
        <v>2020</v>
      </c>
      <c r="E29" t="s">
        <v>309</v>
      </c>
      <c r="F29" t="s">
        <v>400</v>
      </c>
      <c r="H29" s="37" t="s">
        <v>486</v>
      </c>
      <c r="J29" t="s">
        <v>313</v>
      </c>
      <c r="L29" s="33">
        <v>44181.022916666669</v>
      </c>
      <c r="M29">
        <v>0</v>
      </c>
      <c r="N29" t="s">
        <v>315</v>
      </c>
      <c r="S29" t="s">
        <v>487</v>
      </c>
      <c r="T29" t="s">
        <v>373</v>
      </c>
      <c r="X29" t="s">
        <v>321</v>
      </c>
      <c r="Y29" s="35">
        <v>0</v>
      </c>
      <c r="Z29" s="35">
        <v>0</v>
      </c>
      <c r="AA29" s="35">
        <v>0</v>
      </c>
      <c r="AB29" s="35">
        <v>0</v>
      </c>
      <c r="AE29" t="s">
        <v>323</v>
      </c>
      <c r="AG29" t="s">
        <v>324</v>
      </c>
      <c r="AH29" t="b">
        <v>1</v>
      </c>
      <c r="AI29" t="b">
        <v>1</v>
      </c>
      <c r="AM29" t="s">
        <v>328</v>
      </c>
      <c r="BO29" s="37">
        <v>13</v>
      </c>
      <c r="DH29" s="35">
        <v>0</v>
      </c>
      <c r="DO29" t="s">
        <v>488</v>
      </c>
    </row>
    <row r="30" spans="1:119" x14ac:dyDescent="0.45">
      <c r="A30" t="s">
        <v>489</v>
      </c>
      <c r="B30">
        <v>1328053</v>
      </c>
      <c r="C30" t="s">
        <v>81</v>
      </c>
      <c r="D30">
        <v>2015</v>
      </c>
      <c r="E30" t="s">
        <v>309</v>
      </c>
      <c r="F30" t="s">
        <v>400</v>
      </c>
      <c r="H30" s="37" t="s">
        <v>490</v>
      </c>
      <c r="J30" t="s">
        <v>313</v>
      </c>
      <c r="L30" s="33">
        <v>44181.022916666669</v>
      </c>
      <c r="M30">
        <v>0</v>
      </c>
      <c r="N30" t="s">
        <v>315</v>
      </c>
      <c r="S30" t="s">
        <v>487</v>
      </c>
      <c r="T30" t="s">
        <v>373</v>
      </c>
      <c r="W30" t="s">
        <v>81</v>
      </c>
      <c r="X30" t="s">
        <v>321</v>
      </c>
      <c r="Y30" s="35">
        <v>0</v>
      </c>
      <c r="Z30" s="35">
        <v>0</v>
      </c>
      <c r="AA30" s="35">
        <v>0</v>
      </c>
      <c r="AB30" s="35">
        <v>0</v>
      </c>
      <c r="AE30" t="s">
        <v>323</v>
      </c>
      <c r="AG30" t="s">
        <v>324</v>
      </c>
      <c r="AH30" t="b">
        <v>1</v>
      </c>
      <c r="AI30" t="b">
        <v>1</v>
      </c>
      <c r="BO30" s="37">
        <v>14</v>
      </c>
      <c r="DH30" s="35">
        <v>0</v>
      </c>
      <c r="DO30" s="36" t="s">
        <v>491</v>
      </c>
    </row>
    <row r="31" spans="1:119" x14ac:dyDescent="0.45">
      <c r="A31" t="s">
        <v>492</v>
      </c>
      <c r="B31">
        <v>1328026</v>
      </c>
      <c r="C31" t="s">
        <v>80</v>
      </c>
      <c r="D31">
        <v>2011</v>
      </c>
      <c r="E31" t="s">
        <v>346</v>
      </c>
      <c r="F31" t="s">
        <v>347</v>
      </c>
      <c r="G31" t="s">
        <v>348</v>
      </c>
      <c r="H31" s="37" t="s">
        <v>349</v>
      </c>
      <c r="J31" t="s">
        <v>493</v>
      </c>
      <c r="K31" t="s">
        <v>494</v>
      </c>
      <c r="L31" s="33">
        <v>44181.022222222222</v>
      </c>
      <c r="M31" s="15">
        <v>166253</v>
      </c>
      <c r="N31" t="s">
        <v>315</v>
      </c>
      <c r="O31" s="9">
        <v>44181</v>
      </c>
      <c r="S31" t="s">
        <v>438</v>
      </c>
      <c r="T31" t="s">
        <v>373</v>
      </c>
      <c r="U31" t="s">
        <v>495</v>
      </c>
      <c r="X31" t="s">
        <v>321</v>
      </c>
      <c r="Y31" s="35">
        <v>0</v>
      </c>
      <c r="Z31" s="35">
        <v>0</v>
      </c>
      <c r="AA31" s="35">
        <v>0</v>
      </c>
      <c r="AB31" s="35">
        <v>0</v>
      </c>
      <c r="AC31" t="s">
        <v>496</v>
      </c>
      <c r="AD31">
        <v>0</v>
      </c>
      <c r="AE31" t="s">
        <v>323</v>
      </c>
      <c r="AG31" t="s">
        <v>324</v>
      </c>
      <c r="AH31" t="b">
        <v>1</v>
      </c>
      <c r="AI31" t="b">
        <v>1</v>
      </c>
      <c r="AJ31" t="s">
        <v>325</v>
      </c>
      <c r="AK31" t="s">
        <v>326</v>
      </c>
      <c r="AL31" t="s">
        <v>354</v>
      </c>
      <c r="AM31" t="s">
        <v>328</v>
      </c>
      <c r="AN31" t="s">
        <v>355</v>
      </c>
      <c r="AO31" t="s">
        <v>330</v>
      </c>
      <c r="AP31" t="s">
        <v>331</v>
      </c>
      <c r="AT31">
        <v>68.099999999999994</v>
      </c>
      <c r="AX31">
        <v>67</v>
      </c>
      <c r="AY31">
        <v>79.900000000000006</v>
      </c>
      <c r="BE31" s="15">
        <v>6400</v>
      </c>
      <c r="BI31" t="s">
        <v>356</v>
      </c>
      <c r="BJ31" t="s">
        <v>357</v>
      </c>
      <c r="BK31" t="s">
        <v>356</v>
      </c>
      <c r="BL31" t="s">
        <v>357</v>
      </c>
      <c r="BM31">
        <v>11</v>
      </c>
      <c r="BN31">
        <v>16</v>
      </c>
      <c r="BO31" s="37">
        <v>13</v>
      </c>
      <c r="BP31" t="s">
        <v>358</v>
      </c>
      <c r="BQ31" t="s">
        <v>359</v>
      </c>
      <c r="BR31" t="s">
        <v>360</v>
      </c>
      <c r="BS31" t="s">
        <v>336</v>
      </c>
      <c r="BT31">
        <v>3.8</v>
      </c>
      <c r="BU31" t="s">
        <v>361</v>
      </c>
      <c r="BV31">
        <v>9.9</v>
      </c>
      <c r="BW31">
        <v>8</v>
      </c>
      <c r="BX31">
        <v>5.3</v>
      </c>
      <c r="BY31" t="s">
        <v>362</v>
      </c>
      <c r="BZ31">
        <v>87</v>
      </c>
      <c r="CA31">
        <v>315</v>
      </c>
      <c r="CB31">
        <v>335</v>
      </c>
      <c r="CC31">
        <v>5.7</v>
      </c>
      <c r="CD31">
        <v>6000</v>
      </c>
      <c r="CE31">
        <v>3.6</v>
      </c>
      <c r="CF31">
        <v>16</v>
      </c>
      <c r="CG31" t="s">
        <v>363</v>
      </c>
      <c r="CI31" t="s">
        <v>340</v>
      </c>
      <c r="CJ31">
        <v>6</v>
      </c>
      <c r="DH31" s="35">
        <v>0</v>
      </c>
    </row>
    <row r="32" spans="1:119" x14ac:dyDescent="0.45">
      <c r="A32" t="s">
        <v>497</v>
      </c>
      <c r="B32">
        <v>1328029</v>
      </c>
      <c r="C32" t="s">
        <v>84</v>
      </c>
      <c r="D32">
        <v>2013</v>
      </c>
      <c r="E32" t="s">
        <v>309</v>
      </c>
      <c r="F32" t="s">
        <v>310</v>
      </c>
      <c r="H32" s="37" t="s">
        <v>498</v>
      </c>
      <c r="J32" t="s">
        <v>493</v>
      </c>
      <c r="K32" t="s">
        <v>314</v>
      </c>
      <c r="L32" s="33">
        <v>44181.022222222222</v>
      </c>
      <c r="M32">
        <v>0</v>
      </c>
      <c r="N32" t="s">
        <v>315</v>
      </c>
      <c r="S32" t="s">
        <v>438</v>
      </c>
      <c r="T32" t="s">
        <v>373</v>
      </c>
      <c r="U32" t="s">
        <v>499</v>
      </c>
      <c r="X32" t="s">
        <v>321</v>
      </c>
      <c r="Y32" s="35">
        <v>0</v>
      </c>
      <c r="Z32" s="35">
        <v>0</v>
      </c>
      <c r="AA32" s="35">
        <v>0</v>
      </c>
      <c r="AB32" s="35">
        <v>0</v>
      </c>
      <c r="AE32" t="s">
        <v>323</v>
      </c>
      <c r="AG32" t="s">
        <v>324</v>
      </c>
      <c r="AH32" t="b">
        <v>1</v>
      </c>
      <c r="AI32" t="b">
        <v>1</v>
      </c>
      <c r="AM32" t="s">
        <v>328</v>
      </c>
      <c r="AN32" t="s">
        <v>329</v>
      </c>
      <c r="AO32" t="s">
        <v>330</v>
      </c>
      <c r="AP32" t="s">
        <v>331</v>
      </c>
      <c r="AR32">
        <v>26</v>
      </c>
      <c r="AT32">
        <v>67</v>
      </c>
      <c r="AU32">
        <v>8.5</v>
      </c>
      <c r="AV32">
        <v>74.8</v>
      </c>
      <c r="AW32">
        <v>250.4</v>
      </c>
      <c r="AX32">
        <v>67</v>
      </c>
      <c r="AY32">
        <v>97</v>
      </c>
      <c r="AZ32">
        <v>163.1</v>
      </c>
      <c r="BC32" s="15">
        <v>7900</v>
      </c>
      <c r="BD32" s="15">
        <v>5312</v>
      </c>
      <c r="BE32" s="15">
        <v>7300</v>
      </c>
      <c r="BF32">
        <v>97.4</v>
      </c>
      <c r="BG32" s="15">
        <v>1930</v>
      </c>
      <c r="BI32" t="s">
        <v>332</v>
      </c>
      <c r="BJ32">
        <v>17</v>
      </c>
      <c r="BK32" t="s">
        <v>332</v>
      </c>
      <c r="BL32">
        <v>17</v>
      </c>
      <c r="BM32">
        <v>16</v>
      </c>
      <c r="BN32">
        <v>22</v>
      </c>
      <c r="BO32" s="37">
        <v>18</v>
      </c>
      <c r="BP32" t="s">
        <v>333</v>
      </c>
      <c r="BQ32" t="s">
        <v>334</v>
      </c>
      <c r="BR32" t="s">
        <v>335</v>
      </c>
      <c r="BS32" t="s">
        <v>336</v>
      </c>
      <c r="BT32">
        <v>3.6</v>
      </c>
      <c r="BU32" t="s">
        <v>337</v>
      </c>
      <c r="BV32">
        <v>10</v>
      </c>
      <c r="BW32">
        <v>6</v>
      </c>
      <c r="BX32">
        <v>3.5</v>
      </c>
      <c r="BY32" t="s">
        <v>338</v>
      </c>
      <c r="BZ32">
        <v>87</v>
      </c>
      <c r="CA32">
        <v>365</v>
      </c>
      <c r="CB32">
        <v>420</v>
      </c>
      <c r="CC32">
        <v>5.7</v>
      </c>
      <c r="CD32">
        <v>0</v>
      </c>
      <c r="CE32">
        <v>3.5</v>
      </c>
      <c r="CF32">
        <v>24</v>
      </c>
      <c r="CG32" t="s">
        <v>339</v>
      </c>
      <c r="CI32" t="s">
        <v>340</v>
      </c>
      <c r="CJ32">
        <v>6</v>
      </c>
      <c r="CM32">
        <v>114.8</v>
      </c>
      <c r="DH32" s="35">
        <v>0</v>
      </c>
    </row>
    <row r="33" spans="1:119" x14ac:dyDescent="0.45">
      <c r="A33" t="s">
        <v>145</v>
      </c>
      <c r="B33">
        <v>1328030</v>
      </c>
      <c r="C33" t="s">
        <v>84</v>
      </c>
      <c r="D33">
        <v>2014</v>
      </c>
      <c r="E33" t="s">
        <v>309</v>
      </c>
      <c r="F33" t="s">
        <v>310</v>
      </c>
      <c r="G33" t="s">
        <v>311</v>
      </c>
      <c r="H33" s="37" t="s">
        <v>312</v>
      </c>
      <c r="J33" t="s">
        <v>493</v>
      </c>
      <c r="K33" t="s">
        <v>314</v>
      </c>
      <c r="L33" s="33">
        <v>44181.022916666669</v>
      </c>
      <c r="M33" s="34">
        <v>90543.3</v>
      </c>
      <c r="N33" t="s">
        <v>315</v>
      </c>
      <c r="O33" s="9">
        <v>44274</v>
      </c>
      <c r="S33" t="s">
        <v>372</v>
      </c>
      <c r="T33" t="s">
        <v>373</v>
      </c>
      <c r="U33" t="s">
        <v>500</v>
      </c>
      <c r="W33" t="s">
        <v>501</v>
      </c>
      <c r="X33" t="s">
        <v>321</v>
      </c>
      <c r="Y33" s="35">
        <v>8617.82</v>
      </c>
      <c r="Z33" s="35">
        <v>0</v>
      </c>
      <c r="AA33" s="35">
        <v>0</v>
      </c>
      <c r="AB33" s="35">
        <v>0.09</v>
      </c>
      <c r="AC33" t="s">
        <v>502</v>
      </c>
      <c r="AD33">
        <v>0</v>
      </c>
      <c r="AE33" t="s">
        <v>323</v>
      </c>
      <c r="AG33" t="s">
        <v>324</v>
      </c>
      <c r="AH33" t="b">
        <v>1</v>
      </c>
      <c r="AI33" t="b">
        <v>1</v>
      </c>
      <c r="AJ33" t="s">
        <v>325</v>
      </c>
      <c r="AK33" t="s">
        <v>326</v>
      </c>
      <c r="AL33" t="s">
        <v>394</v>
      </c>
      <c r="AM33" t="s">
        <v>328</v>
      </c>
      <c r="AN33" t="s">
        <v>329</v>
      </c>
      <c r="AO33" t="s">
        <v>330</v>
      </c>
      <c r="AP33" t="s">
        <v>331</v>
      </c>
      <c r="AQ33" s="35">
        <v>30240</v>
      </c>
      <c r="AR33">
        <v>26</v>
      </c>
      <c r="AT33">
        <v>67</v>
      </c>
      <c r="AU33">
        <v>8.5</v>
      </c>
      <c r="AV33">
        <v>74.8</v>
      </c>
      <c r="AW33">
        <v>250.4</v>
      </c>
      <c r="AX33">
        <v>67</v>
      </c>
      <c r="AY33">
        <v>97</v>
      </c>
      <c r="AZ33">
        <v>163.1</v>
      </c>
      <c r="BC33" s="15">
        <v>7900</v>
      </c>
      <c r="BD33" s="15">
        <v>5312</v>
      </c>
      <c r="BE33" s="15">
        <v>7300</v>
      </c>
      <c r="BF33">
        <v>97.4</v>
      </c>
      <c r="BG33" s="15">
        <v>1930</v>
      </c>
      <c r="BI33" t="s">
        <v>332</v>
      </c>
      <c r="BJ33">
        <v>17</v>
      </c>
      <c r="BK33" t="s">
        <v>332</v>
      </c>
      <c r="BL33">
        <v>17</v>
      </c>
      <c r="BM33">
        <v>16</v>
      </c>
      <c r="BN33">
        <v>22</v>
      </c>
      <c r="BO33" s="37">
        <v>18</v>
      </c>
      <c r="BP33" t="s">
        <v>333</v>
      </c>
      <c r="BQ33" t="s">
        <v>334</v>
      </c>
      <c r="BR33" t="s">
        <v>335</v>
      </c>
      <c r="BS33" t="s">
        <v>336</v>
      </c>
      <c r="BT33">
        <v>3.6</v>
      </c>
      <c r="BU33" t="s">
        <v>337</v>
      </c>
      <c r="BV33">
        <v>10</v>
      </c>
      <c r="BW33">
        <v>6</v>
      </c>
      <c r="BX33">
        <v>3.5</v>
      </c>
      <c r="BY33" t="s">
        <v>338</v>
      </c>
      <c r="BZ33">
        <v>87</v>
      </c>
      <c r="CA33">
        <v>365</v>
      </c>
      <c r="CB33">
        <v>420</v>
      </c>
      <c r="CC33">
        <v>5.7</v>
      </c>
      <c r="CD33">
        <v>0</v>
      </c>
      <c r="CE33">
        <v>3.5</v>
      </c>
      <c r="CF33">
        <v>24</v>
      </c>
      <c r="CG33" t="s">
        <v>339</v>
      </c>
      <c r="CI33" t="s">
        <v>340</v>
      </c>
      <c r="CJ33">
        <v>6</v>
      </c>
      <c r="CM33">
        <v>114.8</v>
      </c>
      <c r="DH33" s="35">
        <v>0</v>
      </c>
    </row>
    <row r="34" spans="1:119" x14ac:dyDescent="0.45">
      <c r="A34" t="s">
        <v>147</v>
      </c>
      <c r="B34">
        <v>1328035</v>
      </c>
      <c r="C34" t="s">
        <v>84</v>
      </c>
      <c r="D34">
        <v>2019</v>
      </c>
      <c r="E34" t="s">
        <v>309</v>
      </c>
      <c r="F34" t="s">
        <v>310</v>
      </c>
      <c r="G34" t="s">
        <v>311</v>
      </c>
      <c r="H34" s="37" t="s">
        <v>503</v>
      </c>
      <c r="I34" t="s">
        <v>341</v>
      </c>
      <c r="J34" t="s">
        <v>493</v>
      </c>
      <c r="K34" t="s">
        <v>494</v>
      </c>
      <c r="L34" s="33">
        <v>44181.022916666669</v>
      </c>
      <c r="M34" s="15">
        <v>36115</v>
      </c>
      <c r="N34" t="s">
        <v>315</v>
      </c>
      <c r="O34" s="9">
        <v>44279</v>
      </c>
      <c r="S34" t="s">
        <v>316</v>
      </c>
      <c r="T34" t="s">
        <v>504</v>
      </c>
      <c r="U34" t="s">
        <v>505</v>
      </c>
      <c r="W34" t="s">
        <v>501</v>
      </c>
      <c r="X34" t="s">
        <v>321</v>
      </c>
      <c r="Y34" s="35">
        <v>1347.88</v>
      </c>
      <c r="Z34" s="35">
        <v>649.65</v>
      </c>
      <c r="AA34" s="35">
        <v>0</v>
      </c>
      <c r="AB34" s="35">
        <v>0.05</v>
      </c>
      <c r="AC34" t="s">
        <v>506</v>
      </c>
      <c r="AD34">
        <v>0</v>
      </c>
      <c r="AE34" t="s">
        <v>323</v>
      </c>
      <c r="AG34" t="s">
        <v>324</v>
      </c>
      <c r="AH34" t="b">
        <v>1</v>
      </c>
      <c r="AI34" t="b">
        <v>1</v>
      </c>
      <c r="AJ34" t="s">
        <v>325</v>
      </c>
      <c r="AK34" t="s">
        <v>326</v>
      </c>
      <c r="AL34" t="s">
        <v>377</v>
      </c>
      <c r="AM34" t="s">
        <v>328</v>
      </c>
      <c r="AN34" t="s">
        <v>383</v>
      </c>
      <c r="AO34" t="s">
        <v>507</v>
      </c>
      <c r="AP34" t="s">
        <v>331</v>
      </c>
      <c r="AQ34" s="35">
        <v>40460</v>
      </c>
      <c r="AR34">
        <v>26</v>
      </c>
      <c r="AT34">
        <v>67.599999999999994</v>
      </c>
      <c r="AU34">
        <v>9.3000000000000007</v>
      </c>
      <c r="AV34">
        <v>77.3</v>
      </c>
      <c r="AW34">
        <v>243.7</v>
      </c>
      <c r="AX34">
        <v>67.599999999999994</v>
      </c>
      <c r="AY34">
        <v>96.8</v>
      </c>
      <c r="AZ34">
        <v>156.80000000000001</v>
      </c>
      <c r="BC34" s="15">
        <v>9000</v>
      </c>
      <c r="BD34" s="15">
        <v>4913</v>
      </c>
      <c r="BE34" s="15">
        <v>7050</v>
      </c>
      <c r="BF34">
        <v>78.900000000000006</v>
      </c>
      <c r="BG34" s="15">
        <v>2080</v>
      </c>
      <c r="BI34" t="s">
        <v>508</v>
      </c>
      <c r="BJ34" t="s">
        <v>357</v>
      </c>
      <c r="BK34" t="s">
        <v>508</v>
      </c>
      <c r="BL34" t="s">
        <v>357</v>
      </c>
      <c r="BM34">
        <v>12</v>
      </c>
      <c r="BN34">
        <v>15</v>
      </c>
      <c r="BO34" s="37">
        <v>13</v>
      </c>
      <c r="BP34" t="s">
        <v>509</v>
      </c>
      <c r="BR34" t="s">
        <v>360</v>
      </c>
      <c r="BS34" t="s">
        <v>336</v>
      </c>
      <c r="BT34">
        <v>3.6</v>
      </c>
      <c r="BU34" t="s">
        <v>337</v>
      </c>
      <c r="BV34">
        <v>12</v>
      </c>
      <c r="BW34">
        <v>8</v>
      </c>
      <c r="BX34">
        <v>5</v>
      </c>
      <c r="BY34" t="s">
        <v>338</v>
      </c>
      <c r="BZ34">
        <v>87</v>
      </c>
      <c r="CA34">
        <v>395</v>
      </c>
      <c r="CB34">
        <v>400</v>
      </c>
      <c r="CC34">
        <v>8.3000000000000007</v>
      </c>
      <c r="CD34">
        <v>0</v>
      </c>
      <c r="CE34">
        <v>3.7</v>
      </c>
      <c r="CF34">
        <v>32</v>
      </c>
      <c r="CG34" t="s">
        <v>385</v>
      </c>
      <c r="CI34" t="s">
        <v>340</v>
      </c>
      <c r="CJ34">
        <v>10</v>
      </c>
      <c r="CM34">
        <v>131.80000000000001</v>
      </c>
      <c r="DH34" s="35">
        <v>0</v>
      </c>
    </row>
    <row r="35" spans="1:119" x14ac:dyDescent="0.45">
      <c r="A35" t="s">
        <v>146</v>
      </c>
      <c r="B35">
        <v>1328036</v>
      </c>
      <c r="C35" t="s">
        <v>84</v>
      </c>
      <c r="D35">
        <v>2019</v>
      </c>
      <c r="E35" t="s">
        <v>309</v>
      </c>
      <c r="F35" t="s">
        <v>310</v>
      </c>
      <c r="G35" t="s">
        <v>311</v>
      </c>
      <c r="H35" s="37" t="s">
        <v>503</v>
      </c>
      <c r="I35" t="s">
        <v>341</v>
      </c>
      <c r="J35" t="s">
        <v>493</v>
      </c>
      <c r="K35" t="s">
        <v>494</v>
      </c>
      <c r="L35" s="33">
        <v>44181.022916666669</v>
      </c>
      <c r="M35" s="34">
        <v>221547.3</v>
      </c>
      <c r="N35" t="s">
        <v>315</v>
      </c>
      <c r="O35" s="9">
        <v>44278</v>
      </c>
      <c r="S35" t="s">
        <v>316</v>
      </c>
      <c r="T35" t="s">
        <v>510</v>
      </c>
      <c r="U35" t="s">
        <v>511</v>
      </c>
      <c r="W35" t="s">
        <v>501</v>
      </c>
      <c r="X35" t="s">
        <v>321</v>
      </c>
      <c r="Y35" s="35">
        <v>440</v>
      </c>
      <c r="Z35" s="35">
        <v>61.12</v>
      </c>
      <c r="AA35" s="35">
        <v>0</v>
      </c>
      <c r="AB35" s="35">
        <v>0</v>
      </c>
      <c r="AC35" t="s">
        <v>512</v>
      </c>
      <c r="AD35">
        <v>0</v>
      </c>
      <c r="AE35" t="s">
        <v>323</v>
      </c>
      <c r="AG35" t="s">
        <v>324</v>
      </c>
      <c r="AH35" t="b">
        <v>1</v>
      </c>
      <c r="AI35" t="b">
        <v>1</v>
      </c>
      <c r="AJ35" t="s">
        <v>325</v>
      </c>
      <c r="AK35" t="s">
        <v>326</v>
      </c>
      <c r="AL35" t="s">
        <v>377</v>
      </c>
      <c r="AM35" t="s">
        <v>328</v>
      </c>
      <c r="AN35" t="s">
        <v>383</v>
      </c>
      <c r="AO35" t="s">
        <v>507</v>
      </c>
      <c r="AP35" t="s">
        <v>331</v>
      </c>
      <c r="AQ35" s="35">
        <v>40460</v>
      </c>
      <c r="AR35">
        <v>26</v>
      </c>
      <c r="AT35">
        <v>67.599999999999994</v>
      </c>
      <c r="AU35">
        <v>9.3000000000000007</v>
      </c>
      <c r="AV35">
        <v>77.3</v>
      </c>
      <c r="AW35">
        <v>243.7</v>
      </c>
      <c r="AX35">
        <v>67.599999999999994</v>
      </c>
      <c r="AY35">
        <v>96.8</v>
      </c>
      <c r="AZ35">
        <v>156.80000000000001</v>
      </c>
      <c r="BC35" s="15">
        <v>9000</v>
      </c>
      <c r="BD35" s="15">
        <v>4913</v>
      </c>
      <c r="BE35" s="15">
        <v>7050</v>
      </c>
      <c r="BF35">
        <v>78.900000000000006</v>
      </c>
      <c r="BG35" s="15">
        <v>2080</v>
      </c>
      <c r="BI35" t="s">
        <v>508</v>
      </c>
      <c r="BJ35" t="s">
        <v>357</v>
      </c>
      <c r="BK35" t="s">
        <v>508</v>
      </c>
      <c r="BL35" t="s">
        <v>357</v>
      </c>
      <c r="BM35">
        <v>12</v>
      </c>
      <c r="BN35">
        <v>15</v>
      </c>
      <c r="BO35" s="37">
        <v>13</v>
      </c>
      <c r="BP35" t="s">
        <v>509</v>
      </c>
      <c r="BR35" t="s">
        <v>360</v>
      </c>
      <c r="BS35" t="s">
        <v>336</v>
      </c>
      <c r="BT35">
        <v>3.6</v>
      </c>
      <c r="BU35" t="s">
        <v>337</v>
      </c>
      <c r="BV35">
        <v>12</v>
      </c>
      <c r="BW35">
        <v>8</v>
      </c>
      <c r="BX35">
        <v>5</v>
      </c>
      <c r="BY35" t="s">
        <v>338</v>
      </c>
      <c r="BZ35">
        <v>87</v>
      </c>
      <c r="CA35">
        <v>395</v>
      </c>
      <c r="CB35">
        <v>400</v>
      </c>
      <c r="CC35">
        <v>8.3000000000000007</v>
      </c>
      <c r="CD35">
        <v>0</v>
      </c>
      <c r="CE35">
        <v>3.7</v>
      </c>
      <c r="CF35">
        <v>32</v>
      </c>
      <c r="CG35" t="s">
        <v>385</v>
      </c>
      <c r="CI35" t="s">
        <v>340</v>
      </c>
      <c r="CJ35">
        <v>10</v>
      </c>
      <c r="CM35">
        <v>131.80000000000001</v>
      </c>
      <c r="DH35" s="35">
        <v>0</v>
      </c>
    </row>
    <row r="36" spans="1:119" x14ac:dyDescent="0.45">
      <c r="A36" t="s">
        <v>116</v>
      </c>
      <c r="B36">
        <v>1328037</v>
      </c>
      <c r="C36" t="s">
        <v>513</v>
      </c>
      <c r="D36">
        <v>2014</v>
      </c>
      <c r="E36" t="s">
        <v>309</v>
      </c>
      <c r="F36" t="s">
        <v>310</v>
      </c>
      <c r="G36" t="s">
        <v>311</v>
      </c>
      <c r="H36" s="37" t="s">
        <v>312</v>
      </c>
      <c r="I36" t="s">
        <v>341</v>
      </c>
      <c r="J36" t="s">
        <v>493</v>
      </c>
      <c r="K36" t="s">
        <v>314</v>
      </c>
      <c r="L36" s="33">
        <v>44181.022916666669</v>
      </c>
      <c r="M36" s="15">
        <v>193662</v>
      </c>
      <c r="N36" t="s">
        <v>315</v>
      </c>
      <c r="O36" s="9">
        <v>44245</v>
      </c>
      <c r="S36" t="s">
        <v>316</v>
      </c>
      <c r="T36" t="s">
        <v>514</v>
      </c>
      <c r="U36" t="s">
        <v>515</v>
      </c>
      <c r="V36" t="s">
        <v>516</v>
      </c>
      <c r="W36" t="s">
        <v>429</v>
      </c>
      <c r="X36" t="s">
        <v>321</v>
      </c>
      <c r="Y36" s="35">
        <v>3653.26</v>
      </c>
      <c r="Z36" s="35">
        <v>2794.67</v>
      </c>
      <c r="AA36" s="35">
        <v>0</v>
      </c>
      <c r="AB36" s="35">
        <v>0.03</v>
      </c>
      <c r="AC36" t="s">
        <v>517</v>
      </c>
      <c r="AD36">
        <v>0</v>
      </c>
      <c r="AE36" t="s">
        <v>323</v>
      </c>
      <c r="AG36" t="s">
        <v>324</v>
      </c>
      <c r="AH36" t="b">
        <v>1</v>
      </c>
      <c r="AI36" t="b">
        <v>1</v>
      </c>
      <c r="AJ36" t="s">
        <v>325</v>
      </c>
      <c r="AK36" t="s">
        <v>326</v>
      </c>
      <c r="AL36" t="s">
        <v>354</v>
      </c>
      <c r="AM36" t="s">
        <v>328</v>
      </c>
      <c r="AN36" t="s">
        <v>329</v>
      </c>
      <c r="AO36" t="s">
        <v>330</v>
      </c>
      <c r="AP36" t="s">
        <v>331</v>
      </c>
      <c r="AQ36" s="35">
        <v>30240</v>
      </c>
      <c r="AR36">
        <v>26</v>
      </c>
      <c r="AT36">
        <v>67</v>
      </c>
      <c r="AU36">
        <v>8.5</v>
      </c>
      <c r="AV36">
        <v>74.8</v>
      </c>
      <c r="AW36">
        <v>250.4</v>
      </c>
      <c r="AX36">
        <v>67</v>
      </c>
      <c r="AY36">
        <v>97</v>
      </c>
      <c r="AZ36">
        <v>163.1</v>
      </c>
      <c r="BC36" s="15">
        <v>7900</v>
      </c>
      <c r="BD36" s="15">
        <v>5312</v>
      </c>
      <c r="BE36" s="15">
        <v>7300</v>
      </c>
      <c r="BF36">
        <v>97.4</v>
      </c>
      <c r="BG36" s="15">
        <v>1930</v>
      </c>
      <c r="BI36" t="s">
        <v>332</v>
      </c>
      <c r="BJ36">
        <v>17</v>
      </c>
      <c r="BK36" t="s">
        <v>332</v>
      </c>
      <c r="BL36">
        <v>17</v>
      </c>
      <c r="BM36">
        <v>16</v>
      </c>
      <c r="BN36">
        <v>22</v>
      </c>
      <c r="BO36" s="37">
        <v>18</v>
      </c>
      <c r="BP36" t="s">
        <v>333</v>
      </c>
      <c r="BQ36" t="s">
        <v>334</v>
      </c>
      <c r="BR36" t="s">
        <v>335</v>
      </c>
      <c r="BS36" t="s">
        <v>336</v>
      </c>
      <c r="BT36">
        <v>3.6</v>
      </c>
      <c r="BU36" t="s">
        <v>337</v>
      </c>
      <c r="BV36">
        <v>10</v>
      </c>
      <c r="BW36">
        <v>6</v>
      </c>
      <c r="BX36">
        <v>3.5</v>
      </c>
      <c r="BY36" t="s">
        <v>338</v>
      </c>
      <c r="BZ36">
        <v>87</v>
      </c>
      <c r="CA36">
        <v>365</v>
      </c>
      <c r="CB36">
        <v>420</v>
      </c>
      <c r="CC36">
        <v>5.7</v>
      </c>
      <c r="CD36">
        <v>0</v>
      </c>
      <c r="CE36">
        <v>3.5</v>
      </c>
      <c r="CF36">
        <v>24</v>
      </c>
      <c r="CG36" t="s">
        <v>339</v>
      </c>
      <c r="CI36" t="s">
        <v>340</v>
      </c>
      <c r="CJ36">
        <v>6</v>
      </c>
      <c r="CM36">
        <v>114.8</v>
      </c>
      <c r="DH36" s="35">
        <v>0</v>
      </c>
    </row>
    <row r="37" spans="1:119" x14ac:dyDescent="0.45">
      <c r="A37" t="s">
        <v>117</v>
      </c>
      <c r="B37">
        <v>1328038</v>
      </c>
      <c r="C37" t="s">
        <v>513</v>
      </c>
      <c r="D37">
        <v>2013</v>
      </c>
      <c r="E37" t="s">
        <v>309</v>
      </c>
      <c r="F37" t="s">
        <v>310</v>
      </c>
      <c r="G37" t="s">
        <v>311</v>
      </c>
      <c r="H37" s="37" t="s">
        <v>425</v>
      </c>
      <c r="I37" t="s">
        <v>341</v>
      </c>
      <c r="J37" t="s">
        <v>493</v>
      </c>
      <c r="K37" t="s">
        <v>314</v>
      </c>
      <c r="L37" s="33">
        <v>44181.022916666669</v>
      </c>
      <c r="M37" s="15">
        <v>198000</v>
      </c>
      <c r="N37" t="s">
        <v>315</v>
      </c>
      <c r="O37" s="9">
        <v>44225</v>
      </c>
      <c r="S37" t="s">
        <v>372</v>
      </c>
      <c r="T37" t="s">
        <v>373</v>
      </c>
      <c r="U37" t="s">
        <v>518</v>
      </c>
      <c r="V37" t="s">
        <v>519</v>
      </c>
      <c r="W37" t="s">
        <v>429</v>
      </c>
      <c r="X37" t="s">
        <v>321</v>
      </c>
      <c r="Y37" s="35">
        <v>8246.11</v>
      </c>
      <c r="Z37" s="35">
        <v>1048.02</v>
      </c>
      <c r="AA37" s="35">
        <v>0</v>
      </c>
      <c r="AB37" s="35">
        <v>0.04</v>
      </c>
      <c r="AC37" t="s">
        <v>520</v>
      </c>
      <c r="AD37">
        <v>0</v>
      </c>
      <c r="AE37" t="s">
        <v>323</v>
      </c>
      <c r="AG37" t="s">
        <v>324</v>
      </c>
      <c r="AH37" t="b">
        <v>1</v>
      </c>
      <c r="AI37" t="b">
        <v>1</v>
      </c>
      <c r="AJ37" t="s">
        <v>325</v>
      </c>
      <c r="AK37" t="s">
        <v>326</v>
      </c>
      <c r="AL37" t="s">
        <v>394</v>
      </c>
      <c r="AM37" t="s">
        <v>328</v>
      </c>
      <c r="AN37" t="s">
        <v>329</v>
      </c>
      <c r="AO37" t="s">
        <v>330</v>
      </c>
      <c r="AP37" t="s">
        <v>331</v>
      </c>
      <c r="AQ37" s="35">
        <v>28080</v>
      </c>
      <c r="AR37">
        <v>26</v>
      </c>
      <c r="AT37">
        <v>67</v>
      </c>
      <c r="AU37">
        <v>8.5</v>
      </c>
      <c r="AV37">
        <v>74.8</v>
      </c>
      <c r="AW37">
        <v>250.4</v>
      </c>
      <c r="AX37">
        <v>67</v>
      </c>
      <c r="AY37">
        <v>97</v>
      </c>
      <c r="AZ37">
        <v>163.1</v>
      </c>
      <c r="BC37" s="15">
        <v>7900</v>
      </c>
      <c r="BD37" s="15">
        <v>5312</v>
      </c>
      <c r="BE37" s="15">
        <v>7300</v>
      </c>
      <c r="BF37">
        <v>97.4</v>
      </c>
      <c r="BG37" s="15">
        <v>1930</v>
      </c>
      <c r="BI37" t="s">
        <v>332</v>
      </c>
      <c r="BJ37">
        <v>17</v>
      </c>
      <c r="BK37" t="s">
        <v>332</v>
      </c>
      <c r="BL37">
        <v>17</v>
      </c>
      <c r="BM37">
        <v>16</v>
      </c>
      <c r="BN37">
        <v>22</v>
      </c>
      <c r="BO37" s="37">
        <v>18</v>
      </c>
      <c r="BP37" t="s">
        <v>333</v>
      </c>
      <c r="BQ37" t="s">
        <v>334</v>
      </c>
      <c r="BR37" t="s">
        <v>335</v>
      </c>
      <c r="BS37" t="s">
        <v>336</v>
      </c>
      <c r="BT37">
        <v>3.6</v>
      </c>
      <c r="BU37" t="s">
        <v>337</v>
      </c>
      <c r="BV37">
        <v>10</v>
      </c>
      <c r="BW37">
        <v>6</v>
      </c>
      <c r="BX37">
        <v>3.5</v>
      </c>
      <c r="BY37" t="s">
        <v>338</v>
      </c>
      <c r="BZ37">
        <v>87</v>
      </c>
      <c r="CA37">
        <v>365</v>
      </c>
      <c r="CB37">
        <v>420</v>
      </c>
      <c r="CC37">
        <v>5.7</v>
      </c>
      <c r="CD37">
        <v>0</v>
      </c>
      <c r="CE37">
        <v>3.5</v>
      </c>
      <c r="CF37">
        <v>24</v>
      </c>
      <c r="CG37" t="s">
        <v>339</v>
      </c>
      <c r="CI37" t="s">
        <v>340</v>
      </c>
      <c r="CJ37">
        <v>6</v>
      </c>
      <c r="CM37">
        <v>114.8</v>
      </c>
      <c r="DH37" s="35">
        <v>0</v>
      </c>
    </row>
    <row r="38" spans="1:119" x14ac:dyDescent="0.45">
      <c r="A38" t="s">
        <v>118</v>
      </c>
      <c r="B38">
        <v>1328039</v>
      </c>
      <c r="C38" t="s">
        <v>513</v>
      </c>
      <c r="D38">
        <v>2013</v>
      </c>
      <c r="E38" t="s">
        <v>309</v>
      </c>
      <c r="F38" t="s">
        <v>310</v>
      </c>
      <c r="G38" t="s">
        <v>311</v>
      </c>
      <c r="H38" s="37" t="s">
        <v>425</v>
      </c>
      <c r="I38" t="s">
        <v>341</v>
      </c>
      <c r="J38" t="s">
        <v>493</v>
      </c>
      <c r="K38" t="s">
        <v>314</v>
      </c>
      <c r="L38" s="33">
        <v>44181.022916666669</v>
      </c>
      <c r="M38" s="34">
        <v>168517.5</v>
      </c>
      <c r="N38" t="s">
        <v>315</v>
      </c>
      <c r="O38" s="9">
        <v>44278</v>
      </c>
      <c r="S38" t="s">
        <v>316</v>
      </c>
      <c r="T38" t="s">
        <v>521</v>
      </c>
      <c r="U38" t="s">
        <v>522</v>
      </c>
      <c r="V38" t="s">
        <v>523</v>
      </c>
      <c r="W38" t="s">
        <v>429</v>
      </c>
      <c r="X38" t="s">
        <v>321</v>
      </c>
      <c r="Y38" s="35">
        <v>9626.0499999999993</v>
      </c>
      <c r="Z38" s="35">
        <v>0</v>
      </c>
      <c r="AA38" s="35">
        <v>0</v>
      </c>
      <c r="AB38" s="35">
        <v>0.05</v>
      </c>
      <c r="AC38" t="s">
        <v>524</v>
      </c>
      <c r="AD38">
        <v>0</v>
      </c>
      <c r="AE38" t="s">
        <v>323</v>
      </c>
      <c r="AG38" t="s">
        <v>324</v>
      </c>
      <c r="AH38" t="b">
        <v>1</v>
      </c>
      <c r="AI38" t="b">
        <v>1</v>
      </c>
      <c r="AJ38" t="s">
        <v>325</v>
      </c>
      <c r="AK38" t="s">
        <v>326</v>
      </c>
      <c r="AL38" t="s">
        <v>525</v>
      </c>
      <c r="AM38" t="s">
        <v>328</v>
      </c>
      <c r="AN38" t="s">
        <v>329</v>
      </c>
      <c r="AO38" t="s">
        <v>330</v>
      </c>
      <c r="AP38" t="s">
        <v>331</v>
      </c>
      <c r="AQ38" s="35">
        <v>28080</v>
      </c>
      <c r="AR38">
        <v>26</v>
      </c>
      <c r="AT38">
        <v>67</v>
      </c>
      <c r="AU38">
        <v>8.5</v>
      </c>
      <c r="AV38">
        <v>74.8</v>
      </c>
      <c r="AW38">
        <v>250.4</v>
      </c>
      <c r="AX38">
        <v>67</v>
      </c>
      <c r="AY38">
        <v>97</v>
      </c>
      <c r="AZ38">
        <v>163.1</v>
      </c>
      <c r="BC38" s="15">
        <v>7900</v>
      </c>
      <c r="BD38" s="15">
        <v>5312</v>
      </c>
      <c r="BE38" s="15">
        <v>7300</v>
      </c>
      <c r="BF38">
        <v>97.4</v>
      </c>
      <c r="BG38" s="15">
        <v>1930</v>
      </c>
      <c r="BI38" t="s">
        <v>332</v>
      </c>
      <c r="BJ38">
        <v>17</v>
      </c>
      <c r="BK38" t="s">
        <v>332</v>
      </c>
      <c r="BL38">
        <v>17</v>
      </c>
      <c r="BM38">
        <v>16</v>
      </c>
      <c r="BN38">
        <v>22</v>
      </c>
      <c r="BO38" s="37">
        <v>18</v>
      </c>
      <c r="BP38" t="s">
        <v>333</v>
      </c>
      <c r="BQ38" t="s">
        <v>334</v>
      </c>
      <c r="BR38" t="s">
        <v>335</v>
      </c>
      <c r="BS38" t="s">
        <v>336</v>
      </c>
      <c r="BT38">
        <v>3.6</v>
      </c>
      <c r="BU38" t="s">
        <v>337</v>
      </c>
      <c r="BV38">
        <v>10</v>
      </c>
      <c r="BW38">
        <v>6</v>
      </c>
      <c r="BX38">
        <v>3.5</v>
      </c>
      <c r="BY38" t="s">
        <v>338</v>
      </c>
      <c r="BZ38">
        <v>87</v>
      </c>
      <c r="CA38">
        <v>365</v>
      </c>
      <c r="CB38">
        <v>420</v>
      </c>
      <c r="CC38">
        <v>5.7</v>
      </c>
      <c r="CD38">
        <v>0</v>
      </c>
      <c r="CE38">
        <v>3.5</v>
      </c>
      <c r="CF38">
        <v>24</v>
      </c>
      <c r="CG38" t="s">
        <v>339</v>
      </c>
      <c r="CI38" t="s">
        <v>340</v>
      </c>
      <c r="CJ38">
        <v>6</v>
      </c>
      <c r="CM38">
        <v>114.8</v>
      </c>
      <c r="DH38" s="35">
        <v>0</v>
      </c>
    </row>
    <row r="39" spans="1:119" x14ac:dyDescent="0.45">
      <c r="A39" t="s">
        <v>119</v>
      </c>
      <c r="B39">
        <v>1328040</v>
      </c>
      <c r="C39" t="s">
        <v>513</v>
      </c>
      <c r="D39">
        <v>2013</v>
      </c>
      <c r="E39" t="s">
        <v>309</v>
      </c>
      <c r="F39" t="s">
        <v>310</v>
      </c>
      <c r="G39" t="s">
        <v>311</v>
      </c>
      <c r="H39" s="37" t="s">
        <v>425</v>
      </c>
      <c r="I39" t="s">
        <v>341</v>
      </c>
      <c r="J39" t="s">
        <v>493</v>
      </c>
      <c r="K39" t="s">
        <v>314</v>
      </c>
      <c r="L39" s="33">
        <v>44181.022916666669</v>
      </c>
      <c r="M39" s="34">
        <v>193901.4</v>
      </c>
      <c r="N39" t="s">
        <v>315</v>
      </c>
      <c r="O39" s="9">
        <v>44279</v>
      </c>
      <c r="S39" t="s">
        <v>316</v>
      </c>
      <c r="T39" t="s">
        <v>526</v>
      </c>
      <c r="U39" t="s">
        <v>527</v>
      </c>
      <c r="V39" t="s">
        <v>528</v>
      </c>
      <c r="W39" t="s">
        <v>429</v>
      </c>
      <c r="X39" t="s">
        <v>321</v>
      </c>
      <c r="Y39" s="35">
        <v>7130.81</v>
      </c>
      <c r="Z39" s="35">
        <v>0</v>
      </c>
      <c r="AA39" s="35">
        <v>0</v>
      </c>
      <c r="AB39" s="35">
        <v>0.03</v>
      </c>
      <c r="AC39" t="s">
        <v>529</v>
      </c>
      <c r="AD39">
        <v>0</v>
      </c>
      <c r="AE39" t="s">
        <v>323</v>
      </c>
      <c r="AG39" t="s">
        <v>324</v>
      </c>
      <c r="AH39" t="b">
        <v>1</v>
      </c>
      <c r="AI39" t="b">
        <v>1</v>
      </c>
      <c r="AJ39" t="s">
        <v>325</v>
      </c>
      <c r="AK39" t="s">
        <v>326</v>
      </c>
      <c r="AL39" t="s">
        <v>394</v>
      </c>
      <c r="AM39" t="s">
        <v>328</v>
      </c>
      <c r="AN39" t="s">
        <v>329</v>
      </c>
      <c r="AO39" t="s">
        <v>330</v>
      </c>
      <c r="AP39" t="s">
        <v>331</v>
      </c>
      <c r="AQ39" s="35">
        <v>28080</v>
      </c>
      <c r="AR39">
        <v>26</v>
      </c>
      <c r="AT39">
        <v>67</v>
      </c>
      <c r="AU39">
        <v>8.5</v>
      </c>
      <c r="AV39">
        <v>74.8</v>
      </c>
      <c r="AW39">
        <v>250.4</v>
      </c>
      <c r="AX39">
        <v>67</v>
      </c>
      <c r="AY39">
        <v>97</v>
      </c>
      <c r="AZ39">
        <v>163.1</v>
      </c>
      <c r="BC39" s="15">
        <v>7900</v>
      </c>
      <c r="BD39" s="15">
        <v>5312</v>
      </c>
      <c r="BE39" s="15">
        <v>7300</v>
      </c>
      <c r="BF39">
        <v>97.4</v>
      </c>
      <c r="BG39" s="15">
        <v>1930</v>
      </c>
      <c r="BI39" t="s">
        <v>332</v>
      </c>
      <c r="BJ39">
        <v>17</v>
      </c>
      <c r="BK39" t="s">
        <v>332</v>
      </c>
      <c r="BL39">
        <v>17</v>
      </c>
      <c r="BM39">
        <v>16</v>
      </c>
      <c r="BN39">
        <v>22</v>
      </c>
      <c r="BO39" s="37">
        <v>18</v>
      </c>
      <c r="BP39" t="s">
        <v>333</v>
      </c>
      <c r="BQ39" t="s">
        <v>334</v>
      </c>
      <c r="BR39" t="s">
        <v>335</v>
      </c>
      <c r="BS39" t="s">
        <v>336</v>
      </c>
      <c r="BT39">
        <v>3.6</v>
      </c>
      <c r="BU39" t="s">
        <v>337</v>
      </c>
      <c r="BV39">
        <v>10</v>
      </c>
      <c r="BW39">
        <v>6</v>
      </c>
      <c r="BX39">
        <v>3.5</v>
      </c>
      <c r="BY39" t="s">
        <v>338</v>
      </c>
      <c r="BZ39">
        <v>87</v>
      </c>
      <c r="CA39">
        <v>365</v>
      </c>
      <c r="CB39">
        <v>420</v>
      </c>
      <c r="CC39">
        <v>5.7</v>
      </c>
      <c r="CD39">
        <v>0</v>
      </c>
      <c r="CE39">
        <v>3.5</v>
      </c>
      <c r="CF39">
        <v>24</v>
      </c>
      <c r="CG39" t="s">
        <v>339</v>
      </c>
      <c r="CI39" t="s">
        <v>340</v>
      </c>
      <c r="CJ39">
        <v>6</v>
      </c>
      <c r="CM39">
        <v>114.8</v>
      </c>
      <c r="DH39" s="35">
        <v>0</v>
      </c>
    </row>
    <row r="40" spans="1:119" x14ac:dyDescent="0.45">
      <c r="A40" t="s">
        <v>120</v>
      </c>
      <c r="B40">
        <v>1328041</v>
      </c>
      <c r="C40" t="s">
        <v>513</v>
      </c>
      <c r="D40">
        <v>2014</v>
      </c>
      <c r="E40" t="s">
        <v>309</v>
      </c>
      <c r="F40" t="s">
        <v>310</v>
      </c>
      <c r="G40" t="s">
        <v>311</v>
      </c>
      <c r="H40" s="37" t="s">
        <v>312</v>
      </c>
      <c r="I40" t="s">
        <v>341</v>
      </c>
      <c r="J40" t="s">
        <v>493</v>
      </c>
      <c r="K40" t="s">
        <v>314</v>
      </c>
      <c r="L40" s="33">
        <v>44181.022916666669</v>
      </c>
      <c r="M40" s="34">
        <v>194771.1</v>
      </c>
      <c r="N40" t="s">
        <v>315</v>
      </c>
      <c r="O40" s="9">
        <v>44278</v>
      </c>
      <c r="S40" t="s">
        <v>316</v>
      </c>
      <c r="T40" t="s">
        <v>530</v>
      </c>
      <c r="U40" t="s">
        <v>531</v>
      </c>
      <c r="V40" t="s">
        <v>532</v>
      </c>
      <c r="W40" t="s">
        <v>429</v>
      </c>
      <c r="X40" t="s">
        <v>321</v>
      </c>
      <c r="Y40" s="35">
        <v>7442.57</v>
      </c>
      <c r="Z40" s="35">
        <v>0</v>
      </c>
      <c r="AA40" s="35">
        <v>0</v>
      </c>
      <c r="AB40" s="35">
        <v>0.03</v>
      </c>
      <c r="AC40" t="s">
        <v>533</v>
      </c>
      <c r="AD40">
        <v>0</v>
      </c>
      <c r="AE40" t="s">
        <v>323</v>
      </c>
      <c r="AG40" t="s">
        <v>324</v>
      </c>
      <c r="AH40" t="b">
        <v>1</v>
      </c>
      <c r="AI40" t="b">
        <v>1</v>
      </c>
      <c r="AJ40" t="s">
        <v>325</v>
      </c>
      <c r="AK40" t="s">
        <v>326</v>
      </c>
      <c r="AL40" t="s">
        <v>525</v>
      </c>
      <c r="AM40" t="s">
        <v>328</v>
      </c>
      <c r="AN40" t="s">
        <v>329</v>
      </c>
      <c r="AO40" t="s">
        <v>330</v>
      </c>
      <c r="AP40" t="s">
        <v>331</v>
      </c>
      <c r="AQ40" s="35">
        <v>30240</v>
      </c>
      <c r="AR40">
        <v>26</v>
      </c>
      <c r="AT40">
        <v>67</v>
      </c>
      <c r="AU40">
        <v>8.5</v>
      </c>
      <c r="AV40">
        <v>74.8</v>
      </c>
      <c r="AW40">
        <v>250.4</v>
      </c>
      <c r="AX40">
        <v>67</v>
      </c>
      <c r="AY40">
        <v>97</v>
      </c>
      <c r="AZ40">
        <v>163.1</v>
      </c>
      <c r="BC40" s="15">
        <v>7900</v>
      </c>
      <c r="BD40" s="15">
        <v>5312</v>
      </c>
      <c r="BE40" s="15">
        <v>7300</v>
      </c>
      <c r="BF40">
        <v>97.4</v>
      </c>
      <c r="BG40" s="15">
        <v>1930</v>
      </c>
      <c r="BI40" t="s">
        <v>332</v>
      </c>
      <c r="BJ40">
        <v>17</v>
      </c>
      <c r="BK40" t="s">
        <v>332</v>
      </c>
      <c r="BL40">
        <v>17</v>
      </c>
      <c r="BM40">
        <v>16</v>
      </c>
      <c r="BN40">
        <v>22</v>
      </c>
      <c r="BO40" s="37">
        <v>18</v>
      </c>
      <c r="BP40" t="s">
        <v>333</v>
      </c>
      <c r="BQ40" t="s">
        <v>334</v>
      </c>
      <c r="BR40" t="s">
        <v>335</v>
      </c>
      <c r="BS40" t="s">
        <v>336</v>
      </c>
      <c r="BT40">
        <v>3.6</v>
      </c>
      <c r="BU40" t="s">
        <v>337</v>
      </c>
      <c r="BV40">
        <v>10</v>
      </c>
      <c r="BW40">
        <v>6</v>
      </c>
      <c r="BX40">
        <v>3.5</v>
      </c>
      <c r="BY40" t="s">
        <v>338</v>
      </c>
      <c r="BZ40">
        <v>87</v>
      </c>
      <c r="CA40">
        <v>365</v>
      </c>
      <c r="CB40">
        <v>420</v>
      </c>
      <c r="CC40">
        <v>5.7</v>
      </c>
      <c r="CD40">
        <v>0</v>
      </c>
      <c r="CE40">
        <v>3.5</v>
      </c>
      <c r="CF40">
        <v>24</v>
      </c>
      <c r="CG40" t="s">
        <v>339</v>
      </c>
      <c r="CI40" t="s">
        <v>340</v>
      </c>
      <c r="CJ40">
        <v>6</v>
      </c>
      <c r="CM40">
        <v>114.8</v>
      </c>
      <c r="DH40" s="35">
        <v>0</v>
      </c>
    </row>
    <row r="41" spans="1:119" x14ac:dyDescent="0.45">
      <c r="A41" t="s">
        <v>121</v>
      </c>
      <c r="B41">
        <v>1328042</v>
      </c>
      <c r="C41" t="s">
        <v>513</v>
      </c>
      <c r="D41">
        <v>2011</v>
      </c>
      <c r="E41" t="s">
        <v>435</v>
      </c>
      <c r="F41" t="s">
        <v>436</v>
      </c>
      <c r="G41" t="s">
        <v>348</v>
      </c>
      <c r="H41" s="37" t="s">
        <v>437</v>
      </c>
      <c r="I41" t="s">
        <v>341</v>
      </c>
      <c r="J41" t="s">
        <v>493</v>
      </c>
      <c r="K41" t="s">
        <v>314</v>
      </c>
      <c r="L41" s="33">
        <v>44181.022916666669</v>
      </c>
      <c r="M41" s="15">
        <v>254813</v>
      </c>
      <c r="N41" t="s">
        <v>315</v>
      </c>
      <c r="O41" s="9">
        <v>44278</v>
      </c>
      <c r="S41" t="s">
        <v>372</v>
      </c>
      <c r="T41" t="s">
        <v>373</v>
      </c>
      <c r="U41" t="s">
        <v>534</v>
      </c>
      <c r="V41" t="s">
        <v>535</v>
      </c>
      <c r="W41" t="s">
        <v>429</v>
      </c>
      <c r="X41" t="s">
        <v>321</v>
      </c>
      <c r="Y41" s="35">
        <v>0</v>
      </c>
      <c r="Z41" s="35">
        <v>1486.4</v>
      </c>
      <c r="AA41" s="35">
        <v>0</v>
      </c>
      <c r="AB41" s="35">
        <v>0.1</v>
      </c>
      <c r="AC41" t="s">
        <v>536</v>
      </c>
      <c r="AD41">
        <v>0</v>
      </c>
      <c r="AE41" t="s">
        <v>323</v>
      </c>
      <c r="AG41" t="s">
        <v>324</v>
      </c>
      <c r="AH41" t="b">
        <v>1</v>
      </c>
      <c r="AI41" t="b">
        <v>1</v>
      </c>
      <c r="AJ41" t="s">
        <v>325</v>
      </c>
      <c r="AK41" t="s">
        <v>326</v>
      </c>
      <c r="AL41" t="s">
        <v>327</v>
      </c>
      <c r="AM41" t="s">
        <v>328</v>
      </c>
      <c r="AN41" t="s">
        <v>383</v>
      </c>
      <c r="AO41" t="s">
        <v>330</v>
      </c>
      <c r="AP41" t="s">
        <v>331</v>
      </c>
      <c r="AQ41" s="35">
        <v>32445</v>
      </c>
      <c r="AR41">
        <v>36</v>
      </c>
      <c r="AT41">
        <v>68.8</v>
      </c>
      <c r="AU41">
        <v>9.8000000000000007</v>
      </c>
      <c r="AV41">
        <v>78.3</v>
      </c>
      <c r="AW41">
        <v>240.2</v>
      </c>
      <c r="AX41">
        <v>67.3</v>
      </c>
      <c r="AY41">
        <v>80</v>
      </c>
      <c r="AZ41">
        <v>153.69999999999999</v>
      </c>
      <c r="BC41" s="15">
        <v>9700</v>
      </c>
      <c r="BD41" s="15">
        <v>5995</v>
      </c>
      <c r="BE41" s="15">
        <v>9500</v>
      </c>
      <c r="BF41">
        <v>78.8</v>
      </c>
      <c r="BG41" s="15">
        <v>3385</v>
      </c>
      <c r="BI41" t="s">
        <v>443</v>
      </c>
      <c r="BJ41" t="s">
        <v>357</v>
      </c>
      <c r="BK41" t="s">
        <v>443</v>
      </c>
      <c r="BL41" t="s">
        <v>357</v>
      </c>
      <c r="BO41" s="37">
        <v>14</v>
      </c>
      <c r="BP41" t="s">
        <v>444</v>
      </c>
      <c r="BR41" t="s">
        <v>360</v>
      </c>
      <c r="BS41" t="s">
        <v>336</v>
      </c>
      <c r="BT41">
        <v>4</v>
      </c>
      <c r="BU41" t="s">
        <v>361</v>
      </c>
      <c r="BV41">
        <v>9.6</v>
      </c>
      <c r="BW41">
        <v>8</v>
      </c>
      <c r="BX41">
        <v>6</v>
      </c>
      <c r="BY41" t="s">
        <v>409</v>
      </c>
      <c r="BZ41">
        <v>87</v>
      </c>
      <c r="CA41">
        <v>360</v>
      </c>
      <c r="CB41">
        <v>380</v>
      </c>
      <c r="CC41">
        <v>5.7</v>
      </c>
      <c r="CD41">
        <v>6000</v>
      </c>
      <c r="CE41">
        <v>3.6</v>
      </c>
      <c r="CF41">
        <v>16</v>
      </c>
      <c r="CG41" t="s">
        <v>363</v>
      </c>
      <c r="CI41" t="s">
        <v>340</v>
      </c>
      <c r="CJ41">
        <v>6</v>
      </c>
      <c r="DH41" s="35">
        <v>0</v>
      </c>
      <c r="DO41" t="s">
        <v>445</v>
      </c>
    </row>
    <row r="42" spans="1:119" x14ac:dyDescent="0.45">
      <c r="A42" t="s">
        <v>537</v>
      </c>
      <c r="B42">
        <v>1328048</v>
      </c>
      <c r="C42" t="s">
        <v>424</v>
      </c>
      <c r="D42">
        <v>2020</v>
      </c>
      <c r="E42" t="s">
        <v>309</v>
      </c>
      <c r="F42" t="s">
        <v>400</v>
      </c>
      <c r="H42" s="37" t="s">
        <v>486</v>
      </c>
      <c r="J42" t="s">
        <v>493</v>
      </c>
      <c r="K42" t="s">
        <v>494</v>
      </c>
      <c r="L42" s="33">
        <v>44181.022916666669</v>
      </c>
      <c r="M42">
        <v>0</v>
      </c>
      <c r="N42" t="s">
        <v>315</v>
      </c>
      <c r="S42" t="s">
        <v>538</v>
      </c>
      <c r="T42" t="s">
        <v>373</v>
      </c>
      <c r="U42" t="s">
        <v>539</v>
      </c>
      <c r="W42" t="s">
        <v>429</v>
      </c>
      <c r="X42" t="s">
        <v>321</v>
      </c>
      <c r="Y42" s="35">
        <v>0</v>
      </c>
      <c r="Z42" s="35">
        <v>0</v>
      </c>
      <c r="AA42" s="35">
        <v>0</v>
      </c>
      <c r="AB42" s="35">
        <v>0</v>
      </c>
      <c r="AE42" t="s">
        <v>323</v>
      </c>
      <c r="AG42" t="s">
        <v>324</v>
      </c>
      <c r="AH42" t="b">
        <v>1</v>
      </c>
      <c r="AI42" t="b">
        <v>1</v>
      </c>
      <c r="AJ42" t="s">
        <v>325</v>
      </c>
      <c r="AK42" t="s">
        <v>326</v>
      </c>
      <c r="AL42" t="s">
        <v>377</v>
      </c>
      <c r="AM42" t="s">
        <v>328</v>
      </c>
      <c r="AN42" t="s">
        <v>329</v>
      </c>
      <c r="AO42" t="s">
        <v>507</v>
      </c>
      <c r="AP42" t="s">
        <v>331</v>
      </c>
      <c r="AR42">
        <v>34</v>
      </c>
      <c r="AT42">
        <v>68.3</v>
      </c>
      <c r="AU42">
        <v>8.5</v>
      </c>
      <c r="AV42">
        <v>81.400000000000006</v>
      </c>
      <c r="AX42">
        <v>67.2</v>
      </c>
      <c r="AY42">
        <v>105.9</v>
      </c>
      <c r="BE42" s="15">
        <v>10000</v>
      </c>
      <c r="BO42" s="37">
        <v>13</v>
      </c>
      <c r="BP42" t="s">
        <v>540</v>
      </c>
      <c r="BR42" t="s">
        <v>360</v>
      </c>
      <c r="BS42" t="s">
        <v>336</v>
      </c>
      <c r="BT42">
        <v>4</v>
      </c>
      <c r="BU42" t="s">
        <v>408</v>
      </c>
      <c r="BV42">
        <v>9.8000000000000007</v>
      </c>
      <c r="BW42">
        <v>8</v>
      </c>
      <c r="BX42">
        <v>6.2</v>
      </c>
      <c r="BY42" t="s">
        <v>398</v>
      </c>
      <c r="BZ42">
        <v>87</v>
      </c>
      <c r="CA42">
        <v>385</v>
      </c>
      <c r="CB42">
        <v>430</v>
      </c>
      <c r="CC42">
        <v>6.6</v>
      </c>
      <c r="CD42">
        <v>0</v>
      </c>
      <c r="CE42">
        <v>3.7</v>
      </c>
      <c r="CF42">
        <v>16</v>
      </c>
      <c r="CG42" t="s">
        <v>363</v>
      </c>
      <c r="CI42" t="s">
        <v>340</v>
      </c>
      <c r="CJ42">
        <v>6</v>
      </c>
      <c r="CM42">
        <v>116</v>
      </c>
      <c r="DH42" s="35">
        <v>0</v>
      </c>
      <c r="DO42" s="36" t="s">
        <v>488</v>
      </c>
    </row>
    <row r="43" spans="1:119" x14ac:dyDescent="0.45">
      <c r="A43" t="s">
        <v>541</v>
      </c>
      <c r="B43">
        <v>1328049</v>
      </c>
      <c r="C43" t="s">
        <v>424</v>
      </c>
      <c r="D43">
        <v>2020</v>
      </c>
      <c r="E43" t="s">
        <v>309</v>
      </c>
      <c r="F43" t="s">
        <v>400</v>
      </c>
      <c r="H43" s="37" t="s">
        <v>486</v>
      </c>
      <c r="J43" t="s">
        <v>493</v>
      </c>
      <c r="K43" t="s">
        <v>494</v>
      </c>
      <c r="L43" s="33">
        <v>44181.022916666669</v>
      </c>
      <c r="M43">
        <v>0</v>
      </c>
      <c r="N43" t="s">
        <v>315</v>
      </c>
      <c r="S43" t="s">
        <v>538</v>
      </c>
      <c r="T43" t="s">
        <v>373</v>
      </c>
      <c r="U43" t="s">
        <v>542</v>
      </c>
      <c r="W43" t="s">
        <v>429</v>
      </c>
      <c r="X43" t="s">
        <v>321</v>
      </c>
      <c r="Y43" s="35">
        <v>0</v>
      </c>
      <c r="Z43" s="35">
        <v>0</v>
      </c>
      <c r="AA43" s="35">
        <v>0</v>
      </c>
      <c r="AB43" s="35">
        <v>0</v>
      </c>
      <c r="AE43" t="s">
        <v>323</v>
      </c>
      <c r="AG43" t="s">
        <v>324</v>
      </c>
      <c r="AH43" t="b">
        <v>1</v>
      </c>
      <c r="AI43" t="b">
        <v>1</v>
      </c>
      <c r="AJ43" t="s">
        <v>325</v>
      </c>
      <c r="AK43" t="s">
        <v>326</v>
      </c>
      <c r="AL43" t="s">
        <v>377</v>
      </c>
      <c r="AM43" t="s">
        <v>328</v>
      </c>
      <c r="AN43" t="s">
        <v>329</v>
      </c>
      <c r="AO43" t="s">
        <v>507</v>
      </c>
      <c r="AP43" t="s">
        <v>331</v>
      </c>
      <c r="AR43">
        <v>34</v>
      </c>
      <c r="AT43">
        <v>68.3</v>
      </c>
      <c r="AU43">
        <v>8.5</v>
      </c>
      <c r="AV43">
        <v>81.400000000000006</v>
      </c>
      <c r="AX43">
        <v>67.2</v>
      </c>
      <c r="AY43">
        <v>105.9</v>
      </c>
      <c r="BE43" s="15">
        <v>10000</v>
      </c>
      <c r="BO43" s="37">
        <v>13</v>
      </c>
      <c r="BP43" t="s">
        <v>540</v>
      </c>
      <c r="BR43" t="s">
        <v>360</v>
      </c>
      <c r="BS43" t="s">
        <v>336</v>
      </c>
      <c r="BT43">
        <v>4</v>
      </c>
      <c r="BU43" t="s">
        <v>408</v>
      </c>
      <c r="BV43">
        <v>9.8000000000000007</v>
      </c>
      <c r="BW43">
        <v>8</v>
      </c>
      <c r="BX43">
        <v>6.2</v>
      </c>
      <c r="BY43" t="s">
        <v>398</v>
      </c>
      <c r="BZ43">
        <v>87</v>
      </c>
      <c r="CA43">
        <v>385</v>
      </c>
      <c r="CB43">
        <v>430</v>
      </c>
      <c r="CC43">
        <v>6.6</v>
      </c>
      <c r="CD43">
        <v>0</v>
      </c>
      <c r="CE43">
        <v>3.7</v>
      </c>
      <c r="CF43">
        <v>16</v>
      </c>
      <c r="CG43" t="s">
        <v>363</v>
      </c>
      <c r="CI43" t="s">
        <v>340</v>
      </c>
      <c r="CJ43">
        <v>6</v>
      </c>
      <c r="CM43">
        <v>116</v>
      </c>
      <c r="DH43" s="35">
        <v>0</v>
      </c>
      <c r="DO43" s="36" t="s">
        <v>488</v>
      </c>
    </row>
    <row r="44" spans="1:119" x14ac:dyDescent="0.45">
      <c r="A44" t="s">
        <v>543</v>
      </c>
      <c r="B44">
        <v>1328060</v>
      </c>
      <c r="C44" t="s">
        <v>80</v>
      </c>
      <c r="D44">
        <v>2011</v>
      </c>
      <c r="E44" t="s">
        <v>346</v>
      </c>
      <c r="F44" t="s">
        <v>347</v>
      </c>
      <c r="G44" t="s">
        <v>348</v>
      </c>
      <c r="H44" s="37" t="s">
        <v>349</v>
      </c>
      <c r="I44" t="s">
        <v>341</v>
      </c>
      <c r="J44" t="s">
        <v>493</v>
      </c>
      <c r="K44" t="s">
        <v>494</v>
      </c>
      <c r="L44" s="33">
        <v>44181.080555555556</v>
      </c>
      <c r="M44" s="15">
        <v>150000</v>
      </c>
      <c r="N44" t="s">
        <v>315</v>
      </c>
      <c r="O44" s="9">
        <v>44075</v>
      </c>
      <c r="S44" t="s">
        <v>316</v>
      </c>
      <c r="T44" t="s">
        <v>373</v>
      </c>
      <c r="U44" t="s">
        <v>544</v>
      </c>
      <c r="W44" t="s">
        <v>320</v>
      </c>
      <c r="X44" t="s">
        <v>321</v>
      </c>
      <c r="Y44" s="35">
        <v>0</v>
      </c>
      <c r="Z44" s="35">
        <v>0</v>
      </c>
      <c r="AA44" s="35">
        <v>0</v>
      </c>
      <c r="AB44" s="35">
        <v>0</v>
      </c>
      <c r="AC44" t="s">
        <v>496</v>
      </c>
      <c r="AD44">
        <v>0</v>
      </c>
      <c r="AE44" t="s">
        <v>323</v>
      </c>
      <c r="AG44" t="s">
        <v>324</v>
      </c>
      <c r="AH44" t="b">
        <v>1</v>
      </c>
      <c r="AI44" t="b">
        <v>1</v>
      </c>
      <c r="AJ44" t="s">
        <v>325</v>
      </c>
      <c r="AK44" t="s">
        <v>326</v>
      </c>
      <c r="AL44" t="s">
        <v>354</v>
      </c>
      <c r="AM44" t="s">
        <v>328</v>
      </c>
      <c r="AN44" t="s">
        <v>355</v>
      </c>
      <c r="AO44" t="s">
        <v>330</v>
      </c>
      <c r="AP44" t="s">
        <v>331</v>
      </c>
      <c r="AQ44" s="35">
        <v>21625</v>
      </c>
      <c r="AR44">
        <v>34</v>
      </c>
      <c r="AT44">
        <v>68.099999999999994</v>
      </c>
      <c r="AU44">
        <v>8.1999999999999993</v>
      </c>
      <c r="AV44">
        <v>73.5</v>
      </c>
      <c r="AW44">
        <v>224.5</v>
      </c>
      <c r="AX44">
        <v>67</v>
      </c>
      <c r="AY44">
        <v>79.900000000000006</v>
      </c>
      <c r="AZ44">
        <v>133</v>
      </c>
      <c r="BC44" s="15">
        <v>4700</v>
      </c>
      <c r="BD44" s="15">
        <v>4594</v>
      </c>
      <c r="BE44" s="15">
        <v>6400</v>
      </c>
      <c r="BF44">
        <v>97.8</v>
      </c>
      <c r="BG44" s="15">
        <v>1806</v>
      </c>
      <c r="BI44" t="s">
        <v>356</v>
      </c>
      <c r="BJ44" t="s">
        <v>357</v>
      </c>
      <c r="BK44" t="s">
        <v>356</v>
      </c>
      <c r="BL44" t="s">
        <v>357</v>
      </c>
      <c r="BM44">
        <v>11</v>
      </c>
      <c r="BN44">
        <v>16</v>
      </c>
      <c r="BO44" s="37">
        <v>13</v>
      </c>
      <c r="BP44" t="s">
        <v>358</v>
      </c>
      <c r="BQ44" t="s">
        <v>359</v>
      </c>
      <c r="BR44" t="s">
        <v>360</v>
      </c>
      <c r="BS44" t="s">
        <v>336</v>
      </c>
      <c r="BT44">
        <v>3.8</v>
      </c>
      <c r="BU44" t="s">
        <v>361</v>
      </c>
      <c r="BV44">
        <v>9.9</v>
      </c>
      <c r="BW44">
        <v>8</v>
      </c>
      <c r="BX44">
        <v>5.3</v>
      </c>
      <c r="BY44" t="s">
        <v>362</v>
      </c>
      <c r="BZ44">
        <v>87</v>
      </c>
      <c r="CA44">
        <v>315</v>
      </c>
      <c r="CB44">
        <v>335</v>
      </c>
      <c r="CC44">
        <v>5.7</v>
      </c>
      <c r="CD44">
        <v>6000</v>
      </c>
      <c r="CE44">
        <v>3.6</v>
      </c>
      <c r="CF44">
        <v>16</v>
      </c>
      <c r="CG44" t="s">
        <v>363</v>
      </c>
      <c r="CI44" t="s">
        <v>340</v>
      </c>
      <c r="CJ44">
        <v>6</v>
      </c>
      <c r="DH44" s="35">
        <v>0</v>
      </c>
    </row>
    <row r="45" spans="1:119" x14ac:dyDescent="0.45">
      <c r="A45" t="s">
        <v>106</v>
      </c>
      <c r="B45">
        <v>1322781</v>
      </c>
      <c r="C45" t="s">
        <v>80</v>
      </c>
      <c r="D45">
        <v>2019</v>
      </c>
      <c r="E45" t="s">
        <v>309</v>
      </c>
      <c r="F45" t="s">
        <v>545</v>
      </c>
      <c r="G45">
        <v>350</v>
      </c>
      <c r="H45" s="37" t="s">
        <v>546</v>
      </c>
      <c r="I45" t="s">
        <v>341</v>
      </c>
      <c r="J45" t="s">
        <v>547</v>
      </c>
      <c r="K45" t="s">
        <v>314</v>
      </c>
      <c r="L45" s="33">
        <v>44173.742361111108</v>
      </c>
      <c r="M45" s="15">
        <v>42977</v>
      </c>
      <c r="N45" t="s">
        <v>315</v>
      </c>
      <c r="O45" s="9">
        <v>44274</v>
      </c>
      <c r="S45" t="s">
        <v>316</v>
      </c>
      <c r="T45" t="s">
        <v>548</v>
      </c>
      <c r="U45" t="s">
        <v>549</v>
      </c>
      <c r="V45" t="s">
        <v>550</v>
      </c>
      <c r="W45" t="s">
        <v>320</v>
      </c>
      <c r="X45" t="s">
        <v>321</v>
      </c>
      <c r="Y45" s="35">
        <v>845</v>
      </c>
      <c r="Z45" s="35">
        <v>589.39</v>
      </c>
      <c r="AA45" s="35">
        <v>0</v>
      </c>
      <c r="AB45" s="35">
        <v>0.04</v>
      </c>
      <c r="AC45" t="s">
        <v>551</v>
      </c>
      <c r="AD45">
        <v>0</v>
      </c>
      <c r="AE45" t="s">
        <v>323</v>
      </c>
      <c r="AG45" t="s">
        <v>324</v>
      </c>
      <c r="AH45" t="b">
        <v>1</v>
      </c>
      <c r="AI45" t="b">
        <v>1</v>
      </c>
      <c r="AJ45" t="s">
        <v>325</v>
      </c>
      <c r="AK45" t="s">
        <v>326</v>
      </c>
      <c r="AL45" t="s">
        <v>377</v>
      </c>
      <c r="AM45" t="s">
        <v>552</v>
      </c>
      <c r="AN45" t="s">
        <v>553</v>
      </c>
      <c r="AO45" t="s">
        <v>554</v>
      </c>
      <c r="AP45" t="s">
        <v>331</v>
      </c>
      <c r="AQ45" s="35">
        <v>37170</v>
      </c>
      <c r="AR45">
        <v>25</v>
      </c>
      <c r="AT45">
        <v>68.2</v>
      </c>
      <c r="AV45">
        <v>83.2</v>
      </c>
      <c r="AW45">
        <v>237.6</v>
      </c>
      <c r="AX45">
        <v>68.599999999999994</v>
      </c>
      <c r="AY45">
        <v>97.4</v>
      </c>
      <c r="AZ45">
        <v>147.6</v>
      </c>
      <c r="BD45" s="15">
        <v>4998</v>
      </c>
      <c r="BE45" s="15">
        <v>9500</v>
      </c>
      <c r="BG45" s="15">
        <v>4450</v>
      </c>
      <c r="BI45" t="s">
        <v>555</v>
      </c>
      <c r="BJ45" t="s">
        <v>556</v>
      </c>
      <c r="BK45" t="s">
        <v>555</v>
      </c>
      <c r="BL45" t="s">
        <v>556</v>
      </c>
      <c r="BO45" s="37">
        <v>15</v>
      </c>
      <c r="BP45" t="s">
        <v>557</v>
      </c>
      <c r="BQ45" t="s">
        <v>334</v>
      </c>
      <c r="BR45" t="s">
        <v>335</v>
      </c>
      <c r="BS45" t="s">
        <v>336</v>
      </c>
      <c r="BT45">
        <v>3.6</v>
      </c>
      <c r="BU45" t="s">
        <v>337</v>
      </c>
      <c r="BV45">
        <v>10</v>
      </c>
      <c r="BW45">
        <v>6</v>
      </c>
      <c r="BX45">
        <v>3.5</v>
      </c>
      <c r="BY45" t="s">
        <v>338</v>
      </c>
      <c r="BZ45">
        <v>87</v>
      </c>
      <c r="CA45">
        <v>310</v>
      </c>
      <c r="CB45">
        <v>400</v>
      </c>
      <c r="CC45">
        <v>6.6</v>
      </c>
      <c r="CD45">
        <v>6200</v>
      </c>
      <c r="CE45">
        <v>3.4</v>
      </c>
      <c r="CF45">
        <v>24</v>
      </c>
      <c r="CG45" t="s">
        <v>363</v>
      </c>
      <c r="CI45" t="s">
        <v>340</v>
      </c>
      <c r="CJ45">
        <v>6</v>
      </c>
      <c r="CK45">
        <v>277.7</v>
      </c>
      <c r="DH45" s="35">
        <v>0</v>
      </c>
      <c r="DO45" t="s">
        <v>558</v>
      </c>
    </row>
    <row r="46" spans="1:119" x14ac:dyDescent="0.45">
      <c r="A46" t="s">
        <v>107</v>
      </c>
      <c r="B46">
        <v>1322783</v>
      </c>
      <c r="C46" t="s">
        <v>80</v>
      </c>
      <c r="D46">
        <v>2019</v>
      </c>
      <c r="E46" t="s">
        <v>309</v>
      </c>
      <c r="F46" t="s">
        <v>545</v>
      </c>
      <c r="G46">
        <v>350</v>
      </c>
      <c r="H46" s="37" t="s">
        <v>546</v>
      </c>
      <c r="I46" t="s">
        <v>341</v>
      </c>
      <c r="J46" t="s">
        <v>547</v>
      </c>
      <c r="K46" t="s">
        <v>314</v>
      </c>
      <c r="L46" s="33">
        <v>44173.745138888888</v>
      </c>
      <c r="M46" s="15">
        <v>33320</v>
      </c>
      <c r="N46" t="s">
        <v>315</v>
      </c>
      <c r="O46" s="9">
        <v>44278</v>
      </c>
      <c r="S46" t="s">
        <v>316</v>
      </c>
      <c r="T46" t="s">
        <v>559</v>
      </c>
      <c r="U46" t="s">
        <v>560</v>
      </c>
      <c r="V46" t="s">
        <v>561</v>
      </c>
      <c r="W46" t="s">
        <v>320</v>
      </c>
      <c r="X46" t="s">
        <v>321</v>
      </c>
      <c r="Y46" s="35">
        <v>0</v>
      </c>
      <c r="Z46" s="35">
        <v>639.66999999999996</v>
      </c>
      <c r="AA46" s="35">
        <v>0</v>
      </c>
      <c r="AB46" s="35">
        <v>0.02</v>
      </c>
      <c r="AC46" t="s">
        <v>533</v>
      </c>
      <c r="AD46">
        <v>0</v>
      </c>
      <c r="AE46" t="s">
        <v>323</v>
      </c>
      <c r="AG46" t="s">
        <v>324</v>
      </c>
      <c r="AH46" t="b">
        <v>1</v>
      </c>
      <c r="AI46" t="b">
        <v>1</v>
      </c>
      <c r="AJ46" t="s">
        <v>325</v>
      </c>
      <c r="AK46" t="s">
        <v>326</v>
      </c>
      <c r="AL46" t="s">
        <v>377</v>
      </c>
      <c r="AM46" t="s">
        <v>552</v>
      </c>
      <c r="AN46" t="s">
        <v>553</v>
      </c>
      <c r="AO46" t="s">
        <v>554</v>
      </c>
      <c r="AP46" t="s">
        <v>331</v>
      </c>
      <c r="AQ46" s="35">
        <v>37170</v>
      </c>
      <c r="AR46">
        <v>25</v>
      </c>
      <c r="AT46">
        <v>68.2</v>
      </c>
      <c r="AV46">
        <v>83.2</v>
      </c>
      <c r="AW46">
        <v>237.6</v>
      </c>
      <c r="AX46">
        <v>68.599999999999994</v>
      </c>
      <c r="AY46">
        <v>97.4</v>
      </c>
      <c r="AZ46">
        <v>147.6</v>
      </c>
      <c r="BD46" s="15">
        <v>4998</v>
      </c>
      <c r="BE46" s="15">
        <v>9500</v>
      </c>
      <c r="BG46" s="15">
        <v>4450</v>
      </c>
      <c r="BI46" t="s">
        <v>555</v>
      </c>
      <c r="BJ46" t="s">
        <v>556</v>
      </c>
      <c r="BK46" t="s">
        <v>555</v>
      </c>
      <c r="BL46" t="s">
        <v>556</v>
      </c>
      <c r="BO46" s="37">
        <v>15</v>
      </c>
      <c r="BP46" t="s">
        <v>557</v>
      </c>
      <c r="BQ46" t="s">
        <v>334</v>
      </c>
      <c r="BR46" t="s">
        <v>335</v>
      </c>
      <c r="BS46" t="s">
        <v>336</v>
      </c>
      <c r="BT46">
        <v>3.6</v>
      </c>
      <c r="BU46" t="s">
        <v>337</v>
      </c>
      <c r="BV46">
        <v>10</v>
      </c>
      <c r="BW46">
        <v>6</v>
      </c>
      <c r="BX46">
        <v>3.5</v>
      </c>
      <c r="BY46" t="s">
        <v>338</v>
      </c>
      <c r="BZ46">
        <v>87</v>
      </c>
      <c r="CA46">
        <v>310</v>
      </c>
      <c r="CB46">
        <v>400</v>
      </c>
      <c r="CC46">
        <v>6.6</v>
      </c>
      <c r="CD46">
        <v>6200</v>
      </c>
      <c r="CE46">
        <v>3.4</v>
      </c>
      <c r="CF46">
        <v>24</v>
      </c>
      <c r="CG46" t="s">
        <v>363</v>
      </c>
      <c r="CI46" t="s">
        <v>340</v>
      </c>
      <c r="CJ46">
        <v>6</v>
      </c>
      <c r="CK46">
        <v>277.7</v>
      </c>
      <c r="DH46" s="35">
        <v>0</v>
      </c>
      <c r="DO46" t="s">
        <v>558</v>
      </c>
    </row>
    <row r="47" spans="1:119" x14ac:dyDescent="0.45">
      <c r="A47" t="s">
        <v>114</v>
      </c>
      <c r="B47">
        <v>1324024</v>
      </c>
      <c r="C47" t="s">
        <v>81</v>
      </c>
      <c r="D47">
        <v>2019</v>
      </c>
      <c r="E47" t="s">
        <v>309</v>
      </c>
      <c r="F47" t="s">
        <v>545</v>
      </c>
      <c r="G47">
        <v>250</v>
      </c>
      <c r="H47" s="37" t="s">
        <v>562</v>
      </c>
      <c r="I47" t="s">
        <v>341</v>
      </c>
      <c r="J47" t="s">
        <v>547</v>
      </c>
      <c r="K47" t="s">
        <v>314</v>
      </c>
      <c r="L47" s="33">
        <v>44174.456944444442</v>
      </c>
      <c r="M47" s="34">
        <v>48769.4</v>
      </c>
      <c r="N47" t="s">
        <v>315</v>
      </c>
      <c r="O47" s="9">
        <v>44278</v>
      </c>
      <c r="S47" t="s">
        <v>316</v>
      </c>
      <c r="T47" t="s">
        <v>563</v>
      </c>
      <c r="U47" t="s">
        <v>564</v>
      </c>
      <c r="V47" t="s">
        <v>565</v>
      </c>
      <c r="W47" t="s">
        <v>81</v>
      </c>
      <c r="X47" t="s">
        <v>321</v>
      </c>
      <c r="Y47" s="35">
        <v>85.23</v>
      </c>
      <c r="Z47" s="35">
        <v>0</v>
      </c>
      <c r="AA47" s="35">
        <v>0</v>
      </c>
      <c r="AB47" s="35">
        <v>0</v>
      </c>
      <c r="AC47" t="s">
        <v>430</v>
      </c>
      <c r="AD47">
        <v>0</v>
      </c>
      <c r="AE47" t="s">
        <v>323</v>
      </c>
      <c r="AG47" t="s">
        <v>324</v>
      </c>
      <c r="AH47" t="b">
        <v>1</v>
      </c>
      <c r="AI47" t="b">
        <v>1</v>
      </c>
      <c r="AJ47" t="s">
        <v>325</v>
      </c>
      <c r="AK47" t="s">
        <v>326</v>
      </c>
      <c r="AL47" t="s">
        <v>377</v>
      </c>
      <c r="AM47" t="s">
        <v>552</v>
      </c>
      <c r="AN47" t="s">
        <v>553</v>
      </c>
      <c r="AO47" t="s">
        <v>554</v>
      </c>
      <c r="AP47" t="s">
        <v>331</v>
      </c>
      <c r="AQ47" s="35">
        <v>35115</v>
      </c>
      <c r="AR47">
        <v>25</v>
      </c>
      <c r="AT47">
        <v>68.2</v>
      </c>
      <c r="AV47">
        <v>83.2</v>
      </c>
      <c r="AW47">
        <v>237.6</v>
      </c>
      <c r="AX47">
        <v>68.599999999999994</v>
      </c>
      <c r="AY47">
        <v>97.4</v>
      </c>
      <c r="AZ47">
        <v>147.6</v>
      </c>
      <c r="BD47" s="15">
        <v>4998</v>
      </c>
      <c r="BE47" s="15">
        <v>9000</v>
      </c>
      <c r="BG47" s="15">
        <v>3950</v>
      </c>
      <c r="BI47" t="s">
        <v>555</v>
      </c>
      <c r="BJ47" t="s">
        <v>556</v>
      </c>
      <c r="BK47" t="s">
        <v>555</v>
      </c>
      <c r="BL47" t="s">
        <v>556</v>
      </c>
      <c r="BO47" s="37">
        <v>15</v>
      </c>
      <c r="BP47" t="s">
        <v>566</v>
      </c>
      <c r="BR47" t="s">
        <v>360</v>
      </c>
      <c r="BS47" t="s">
        <v>336</v>
      </c>
      <c r="BT47">
        <v>3.8</v>
      </c>
      <c r="BU47" t="s">
        <v>337</v>
      </c>
      <c r="BV47">
        <v>10.5</v>
      </c>
      <c r="BW47">
        <v>6</v>
      </c>
      <c r="BX47">
        <v>3.7</v>
      </c>
      <c r="BY47" t="s">
        <v>398</v>
      </c>
      <c r="BZ47">
        <v>87</v>
      </c>
      <c r="CA47">
        <v>275</v>
      </c>
      <c r="CB47">
        <v>260</v>
      </c>
      <c r="CC47">
        <v>6.5</v>
      </c>
      <c r="CD47">
        <v>6850</v>
      </c>
      <c r="CE47">
        <v>3.4</v>
      </c>
      <c r="CF47">
        <v>24</v>
      </c>
      <c r="CG47" t="s">
        <v>363</v>
      </c>
      <c r="CI47" t="s">
        <v>340</v>
      </c>
      <c r="CJ47">
        <v>6</v>
      </c>
      <c r="CK47">
        <v>277.7</v>
      </c>
      <c r="DH47" s="35">
        <v>0</v>
      </c>
      <c r="DO47" t="s">
        <v>558</v>
      </c>
    </row>
    <row r="48" spans="1:119" x14ac:dyDescent="0.45">
      <c r="A48" t="s">
        <v>115</v>
      </c>
      <c r="B48">
        <v>1324025</v>
      </c>
      <c r="C48" t="s">
        <v>81</v>
      </c>
      <c r="D48">
        <v>2019</v>
      </c>
      <c r="E48" t="s">
        <v>309</v>
      </c>
      <c r="F48" t="s">
        <v>545</v>
      </c>
      <c r="G48">
        <v>250</v>
      </c>
      <c r="H48" s="37" t="s">
        <v>562</v>
      </c>
      <c r="I48" t="s">
        <v>341</v>
      </c>
      <c r="J48" t="s">
        <v>547</v>
      </c>
      <c r="K48" t="s">
        <v>314</v>
      </c>
      <c r="L48" s="33">
        <v>44174.457638888889</v>
      </c>
      <c r="M48" s="34">
        <v>53703.7</v>
      </c>
      <c r="N48" t="s">
        <v>315</v>
      </c>
      <c r="O48" s="9">
        <v>44278</v>
      </c>
      <c r="S48" t="s">
        <v>316</v>
      </c>
      <c r="T48" t="s">
        <v>567</v>
      </c>
      <c r="U48" t="s">
        <v>568</v>
      </c>
      <c r="V48" t="s">
        <v>569</v>
      </c>
      <c r="W48" t="s">
        <v>81</v>
      </c>
      <c r="X48" t="s">
        <v>321</v>
      </c>
      <c r="Y48" s="35">
        <v>167.85</v>
      </c>
      <c r="Z48" s="35">
        <v>0</v>
      </c>
      <c r="AA48" s="35">
        <v>0</v>
      </c>
      <c r="AB48" s="35">
        <v>0</v>
      </c>
      <c r="AC48" t="s">
        <v>570</v>
      </c>
      <c r="AD48">
        <v>0</v>
      </c>
      <c r="AE48" t="s">
        <v>323</v>
      </c>
      <c r="AG48" t="s">
        <v>324</v>
      </c>
      <c r="AH48" t="b">
        <v>1</v>
      </c>
      <c r="AI48" t="b">
        <v>1</v>
      </c>
      <c r="AJ48" t="s">
        <v>325</v>
      </c>
      <c r="AK48" t="s">
        <v>326</v>
      </c>
      <c r="AL48" t="s">
        <v>377</v>
      </c>
      <c r="AM48" t="s">
        <v>552</v>
      </c>
      <c r="AN48" t="s">
        <v>553</v>
      </c>
      <c r="AO48" t="s">
        <v>554</v>
      </c>
      <c r="AP48" t="s">
        <v>331</v>
      </c>
      <c r="AQ48" s="35">
        <v>35115</v>
      </c>
      <c r="AR48">
        <v>25</v>
      </c>
      <c r="AT48">
        <v>68.2</v>
      </c>
      <c r="AV48">
        <v>83.2</v>
      </c>
      <c r="AW48">
        <v>237.6</v>
      </c>
      <c r="AX48">
        <v>68.599999999999994</v>
      </c>
      <c r="AY48">
        <v>97.4</v>
      </c>
      <c r="AZ48">
        <v>147.6</v>
      </c>
      <c r="BD48" s="15">
        <v>4998</v>
      </c>
      <c r="BE48" s="15">
        <v>9000</v>
      </c>
      <c r="BG48" s="15">
        <v>3950</v>
      </c>
      <c r="BI48" t="s">
        <v>555</v>
      </c>
      <c r="BJ48" t="s">
        <v>556</v>
      </c>
      <c r="BK48" t="s">
        <v>555</v>
      </c>
      <c r="BL48" t="s">
        <v>556</v>
      </c>
      <c r="BO48" s="37">
        <v>15</v>
      </c>
      <c r="BP48" t="s">
        <v>566</v>
      </c>
      <c r="BR48" t="s">
        <v>360</v>
      </c>
      <c r="BS48" t="s">
        <v>336</v>
      </c>
      <c r="BT48">
        <v>3.8</v>
      </c>
      <c r="BU48" t="s">
        <v>337</v>
      </c>
      <c r="BV48">
        <v>10.5</v>
      </c>
      <c r="BW48">
        <v>6</v>
      </c>
      <c r="BX48">
        <v>3.7</v>
      </c>
      <c r="BY48" t="s">
        <v>398</v>
      </c>
      <c r="BZ48">
        <v>87</v>
      </c>
      <c r="CA48">
        <v>275</v>
      </c>
      <c r="CB48">
        <v>260</v>
      </c>
      <c r="CC48">
        <v>6.5</v>
      </c>
      <c r="CD48">
        <v>6850</v>
      </c>
      <c r="CE48">
        <v>3.4</v>
      </c>
      <c r="CF48">
        <v>24</v>
      </c>
      <c r="CG48" t="s">
        <v>363</v>
      </c>
      <c r="CI48" t="s">
        <v>340</v>
      </c>
      <c r="CJ48">
        <v>6</v>
      </c>
      <c r="CK48">
        <v>277.7</v>
      </c>
      <c r="DH48" s="35">
        <v>0</v>
      </c>
      <c r="DO48" t="s">
        <v>558</v>
      </c>
    </row>
    <row r="49" spans="1:119" x14ac:dyDescent="0.45">
      <c r="A49" t="s">
        <v>138</v>
      </c>
      <c r="B49">
        <v>1326452</v>
      </c>
      <c r="C49" t="s">
        <v>424</v>
      </c>
      <c r="D49">
        <v>2018</v>
      </c>
      <c r="E49" t="s">
        <v>309</v>
      </c>
      <c r="F49" t="s">
        <v>545</v>
      </c>
      <c r="G49">
        <v>250</v>
      </c>
      <c r="H49" s="37" t="s">
        <v>571</v>
      </c>
      <c r="I49" t="s">
        <v>341</v>
      </c>
      <c r="J49" t="s">
        <v>547</v>
      </c>
      <c r="K49" t="s">
        <v>314</v>
      </c>
      <c r="L49" s="33">
        <v>44179.464583333334</v>
      </c>
      <c r="M49" s="15">
        <v>77037</v>
      </c>
      <c r="N49" t="s">
        <v>315</v>
      </c>
      <c r="O49" s="9">
        <v>44278</v>
      </c>
      <c r="S49" t="s">
        <v>316</v>
      </c>
      <c r="T49" t="s">
        <v>572</v>
      </c>
      <c r="U49" t="s">
        <v>573</v>
      </c>
      <c r="V49" t="s">
        <v>574</v>
      </c>
      <c r="W49" t="s">
        <v>429</v>
      </c>
      <c r="X49" t="s">
        <v>321</v>
      </c>
      <c r="Y49" s="35">
        <v>2805.13</v>
      </c>
      <c r="Z49" s="35">
        <v>1187.58</v>
      </c>
      <c r="AA49" s="35">
        <v>3000</v>
      </c>
      <c r="AB49" s="35">
        <v>0.09</v>
      </c>
      <c r="AC49" t="s">
        <v>575</v>
      </c>
      <c r="AD49">
        <v>0</v>
      </c>
      <c r="AE49" t="s">
        <v>323</v>
      </c>
      <c r="AG49" t="s">
        <v>324</v>
      </c>
      <c r="AH49" t="b">
        <v>1</v>
      </c>
      <c r="AI49" t="b">
        <v>1</v>
      </c>
      <c r="AK49" t="s">
        <v>326</v>
      </c>
      <c r="AL49" t="s">
        <v>377</v>
      </c>
      <c r="AM49" t="s">
        <v>552</v>
      </c>
      <c r="AN49" t="s">
        <v>553</v>
      </c>
      <c r="AO49" t="s">
        <v>554</v>
      </c>
      <c r="AP49" t="s">
        <v>331</v>
      </c>
      <c r="AQ49" s="35">
        <v>34180</v>
      </c>
      <c r="AR49">
        <v>25</v>
      </c>
      <c r="AT49">
        <v>68.2</v>
      </c>
      <c r="AV49">
        <v>83.2</v>
      </c>
      <c r="AW49">
        <v>237.6</v>
      </c>
      <c r="AX49">
        <v>68.599999999999994</v>
      </c>
      <c r="AY49">
        <v>97.4</v>
      </c>
      <c r="AZ49">
        <v>147.6</v>
      </c>
      <c r="BD49" s="15">
        <v>4991</v>
      </c>
      <c r="BE49" s="15">
        <v>9000</v>
      </c>
      <c r="BG49" s="15">
        <v>3950</v>
      </c>
      <c r="BI49" t="s">
        <v>555</v>
      </c>
      <c r="BJ49" t="s">
        <v>556</v>
      </c>
      <c r="BK49" t="s">
        <v>555</v>
      </c>
      <c r="BL49" t="s">
        <v>556</v>
      </c>
      <c r="BM49">
        <v>14</v>
      </c>
      <c r="BN49">
        <v>18</v>
      </c>
      <c r="BO49" s="37">
        <v>16</v>
      </c>
      <c r="BP49" t="s">
        <v>566</v>
      </c>
      <c r="BR49" t="s">
        <v>360</v>
      </c>
      <c r="BS49" t="s">
        <v>336</v>
      </c>
      <c r="BT49">
        <v>3.8</v>
      </c>
      <c r="BU49" t="s">
        <v>337</v>
      </c>
      <c r="BV49">
        <v>10.5</v>
      </c>
      <c r="BW49">
        <v>6</v>
      </c>
      <c r="BX49">
        <v>3.7</v>
      </c>
      <c r="BY49" t="s">
        <v>398</v>
      </c>
      <c r="BZ49">
        <v>87</v>
      </c>
      <c r="CA49">
        <v>275</v>
      </c>
      <c r="CB49">
        <v>260</v>
      </c>
      <c r="CC49">
        <v>6.5</v>
      </c>
      <c r="CD49">
        <v>6850</v>
      </c>
      <c r="CE49">
        <v>3.4</v>
      </c>
      <c r="CF49">
        <v>24</v>
      </c>
      <c r="CG49" t="s">
        <v>363</v>
      </c>
      <c r="CI49" t="s">
        <v>340</v>
      </c>
      <c r="CJ49">
        <v>6</v>
      </c>
      <c r="CK49">
        <v>277.7</v>
      </c>
      <c r="DG49" s="9">
        <v>43496</v>
      </c>
      <c r="DH49" s="35">
        <v>34000</v>
      </c>
      <c r="DI49">
        <v>-2</v>
      </c>
      <c r="DJ49" s="9">
        <v>45292</v>
      </c>
      <c r="DK49">
        <v>50000</v>
      </c>
      <c r="DL49" t="s">
        <v>576</v>
      </c>
      <c r="DM49" t="s">
        <v>577</v>
      </c>
    </row>
    <row r="50" spans="1:119" x14ac:dyDescent="0.45">
      <c r="A50" t="s">
        <v>139</v>
      </c>
      <c r="B50">
        <v>1326453</v>
      </c>
      <c r="C50" t="s">
        <v>424</v>
      </c>
      <c r="D50">
        <v>2019</v>
      </c>
      <c r="E50" t="s">
        <v>309</v>
      </c>
      <c r="F50" t="s">
        <v>545</v>
      </c>
      <c r="G50">
        <v>250</v>
      </c>
      <c r="H50" s="37" t="s">
        <v>562</v>
      </c>
      <c r="I50" t="s">
        <v>341</v>
      </c>
      <c r="J50" t="s">
        <v>547</v>
      </c>
      <c r="K50" t="s">
        <v>314</v>
      </c>
      <c r="L50" s="33">
        <v>44179.46597222222</v>
      </c>
      <c r="M50" s="15">
        <v>26163</v>
      </c>
      <c r="N50" t="s">
        <v>315</v>
      </c>
      <c r="O50" s="9">
        <v>44186</v>
      </c>
      <c r="S50" t="s">
        <v>316</v>
      </c>
      <c r="T50" t="s">
        <v>373</v>
      </c>
      <c r="U50" t="s">
        <v>578</v>
      </c>
      <c r="V50" t="s">
        <v>579</v>
      </c>
      <c r="W50" t="s">
        <v>429</v>
      </c>
      <c r="X50" t="s">
        <v>321</v>
      </c>
      <c r="Y50" s="35">
        <v>312.38</v>
      </c>
      <c r="Z50" s="35">
        <v>0</v>
      </c>
      <c r="AA50" s="35">
        <v>0</v>
      </c>
      <c r="AB50" s="35">
        <v>0.01</v>
      </c>
      <c r="AC50" t="s">
        <v>580</v>
      </c>
      <c r="AD50">
        <v>0</v>
      </c>
      <c r="AE50" t="s">
        <v>323</v>
      </c>
      <c r="AG50" t="s">
        <v>324</v>
      </c>
      <c r="AH50" t="b">
        <v>1</v>
      </c>
      <c r="AI50" t="b">
        <v>1</v>
      </c>
      <c r="AJ50" t="s">
        <v>325</v>
      </c>
      <c r="AK50" t="s">
        <v>326</v>
      </c>
      <c r="AL50" t="s">
        <v>377</v>
      </c>
      <c r="AM50" t="s">
        <v>552</v>
      </c>
      <c r="AN50" t="s">
        <v>553</v>
      </c>
      <c r="AO50" t="s">
        <v>554</v>
      </c>
      <c r="AP50" t="s">
        <v>331</v>
      </c>
      <c r="AQ50" s="35">
        <v>34960</v>
      </c>
      <c r="AR50">
        <v>25</v>
      </c>
      <c r="AT50">
        <v>68.2</v>
      </c>
      <c r="AV50">
        <v>83.2</v>
      </c>
      <c r="AW50">
        <v>237.6</v>
      </c>
      <c r="AX50">
        <v>68.599999999999994</v>
      </c>
      <c r="AY50">
        <v>97.4</v>
      </c>
      <c r="AZ50">
        <v>147.6</v>
      </c>
      <c r="BD50" s="15">
        <v>4998</v>
      </c>
      <c r="BE50" s="15">
        <v>9000</v>
      </c>
      <c r="BG50" s="15">
        <v>3950</v>
      </c>
      <c r="BI50" t="s">
        <v>555</v>
      </c>
      <c r="BJ50" t="s">
        <v>556</v>
      </c>
      <c r="BK50" t="s">
        <v>555</v>
      </c>
      <c r="BL50" t="s">
        <v>556</v>
      </c>
      <c r="BO50" s="37">
        <v>15</v>
      </c>
      <c r="BP50" t="s">
        <v>566</v>
      </c>
      <c r="BR50" t="s">
        <v>360</v>
      </c>
      <c r="BS50" t="s">
        <v>336</v>
      </c>
      <c r="BT50">
        <v>3.8</v>
      </c>
      <c r="BU50" t="s">
        <v>337</v>
      </c>
      <c r="BV50">
        <v>10.5</v>
      </c>
      <c r="BW50">
        <v>6</v>
      </c>
      <c r="BX50">
        <v>3.7</v>
      </c>
      <c r="BY50" t="s">
        <v>398</v>
      </c>
      <c r="BZ50">
        <v>87</v>
      </c>
      <c r="CA50">
        <v>275</v>
      </c>
      <c r="CB50">
        <v>260</v>
      </c>
      <c r="CC50">
        <v>6.5</v>
      </c>
      <c r="CD50">
        <v>6850</v>
      </c>
      <c r="CE50">
        <v>3.4</v>
      </c>
      <c r="CF50">
        <v>24</v>
      </c>
      <c r="CG50" t="s">
        <v>363</v>
      </c>
      <c r="CI50" t="s">
        <v>340</v>
      </c>
      <c r="CJ50">
        <v>6</v>
      </c>
      <c r="CK50">
        <v>277.7</v>
      </c>
      <c r="DH50" s="35">
        <v>0</v>
      </c>
      <c r="DO50" t="s">
        <v>558</v>
      </c>
    </row>
    <row r="51" spans="1:119" x14ac:dyDescent="0.45">
      <c r="A51" t="s">
        <v>140</v>
      </c>
      <c r="B51">
        <v>1326454</v>
      </c>
      <c r="C51" t="s">
        <v>424</v>
      </c>
      <c r="D51">
        <v>2019</v>
      </c>
      <c r="E51" t="s">
        <v>309</v>
      </c>
      <c r="F51" t="s">
        <v>545</v>
      </c>
      <c r="G51">
        <v>250</v>
      </c>
      <c r="H51" s="37" t="s">
        <v>562</v>
      </c>
      <c r="I51" t="s">
        <v>341</v>
      </c>
      <c r="J51" t="s">
        <v>547</v>
      </c>
      <c r="K51" t="s">
        <v>314</v>
      </c>
      <c r="L51" s="33">
        <v>44179.467361111114</v>
      </c>
      <c r="M51" s="34">
        <v>46000.6</v>
      </c>
      <c r="N51" t="s">
        <v>315</v>
      </c>
      <c r="O51" s="9">
        <v>44278</v>
      </c>
      <c r="S51" t="s">
        <v>316</v>
      </c>
      <c r="T51" t="s">
        <v>581</v>
      </c>
      <c r="U51" t="s">
        <v>582</v>
      </c>
      <c r="V51" t="s">
        <v>583</v>
      </c>
      <c r="W51" t="s">
        <v>429</v>
      </c>
      <c r="X51" t="s">
        <v>321</v>
      </c>
      <c r="Y51" s="35">
        <v>79.989999999999995</v>
      </c>
      <c r="Z51" s="35">
        <v>1360.72</v>
      </c>
      <c r="AA51" s="35">
        <v>0</v>
      </c>
      <c r="AB51" s="35">
        <v>0.06</v>
      </c>
      <c r="AC51" t="s">
        <v>584</v>
      </c>
      <c r="AD51">
        <v>0</v>
      </c>
      <c r="AE51" t="s">
        <v>323</v>
      </c>
      <c r="AG51" t="s">
        <v>324</v>
      </c>
      <c r="AH51" t="b">
        <v>1</v>
      </c>
      <c r="AI51" t="b">
        <v>1</v>
      </c>
      <c r="AJ51" t="s">
        <v>325</v>
      </c>
      <c r="AK51" t="s">
        <v>326</v>
      </c>
      <c r="AL51" t="s">
        <v>377</v>
      </c>
      <c r="AM51" t="s">
        <v>552</v>
      </c>
      <c r="AN51" t="s">
        <v>553</v>
      </c>
      <c r="AO51" t="s">
        <v>554</v>
      </c>
      <c r="AP51" t="s">
        <v>331</v>
      </c>
      <c r="AQ51" s="35">
        <v>34960</v>
      </c>
      <c r="AR51">
        <v>25</v>
      </c>
      <c r="AT51">
        <v>68.2</v>
      </c>
      <c r="AV51">
        <v>83.2</v>
      </c>
      <c r="AW51">
        <v>237.6</v>
      </c>
      <c r="AX51">
        <v>68.599999999999994</v>
      </c>
      <c r="AY51">
        <v>97.4</v>
      </c>
      <c r="AZ51">
        <v>147.6</v>
      </c>
      <c r="BD51" s="15">
        <v>4998</v>
      </c>
      <c r="BE51" s="15">
        <v>9000</v>
      </c>
      <c r="BG51" s="15">
        <v>3950</v>
      </c>
      <c r="BI51" t="s">
        <v>555</v>
      </c>
      <c r="BJ51" t="s">
        <v>556</v>
      </c>
      <c r="BK51" t="s">
        <v>555</v>
      </c>
      <c r="BL51" t="s">
        <v>556</v>
      </c>
      <c r="BO51" s="37">
        <v>15</v>
      </c>
      <c r="BP51" t="s">
        <v>566</v>
      </c>
      <c r="BR51" t="s">
        <v>360</v>
      </c>
      <c r="BS51" t="s">
        <v>336</v>
      </c>
      <c r="BT51">
        <v>3.8</v>
      </c>
      <c r="BU51" t="s">
        <v>337</v>
      </c>
      <c r="BV51">
        <v>10.5</v>
      </c>
      <c r="BW51">
        <v>6</v>
      </c>
      <c r="BX51">
        <v>3.7</v>
      </c>
      <c r="BY51" t="s">
        <v>398</v>
      </c>
      <c r="BZ51">
        <v>87</v>
      </c>
      <c r="CA51">
        <v>275</v>
      </c>
      <c r="CB51">
        <v>260</v>
      </c>
      <c r="CC51">
        <v>6.5</v>
      </c>
      <c r="CD51">
        <v>6850</v>
      </c>
      <c r="CE51">
        <v>3.4</v>
      </c>
      <c r="CF51">
        <v>24</v>
      </c>
      <c r="CG51" t="s">
        <v>363</v>
      </c>
      <c r="CI51" t="s">
        <v>340</v>
      </c>
      <c r="CJ51">
        <v>6</v>
      </c>
      <c r="CK51">
        <v>277.7</v>
      </c>
      <c r="DH51" s="35">
        <v>0</v>
      </c>
      <c r="DO51" t="s">
        <v>558</v>
      </c>
    </row>
    <row r="52" spans="1:119" x14ac:dyDescent="0.45">
      <c r="A52" t="s">
        <v>141</v>
      </c>
      <c r="B52">
        <v>1326457</v>
      </c>
      <c r="C52" t="s">
        <v>424</v>
      </c>
      <c r="D52">
        <v>2019</v>
      </c>
      <c r="E52" t="s">
        <v>309</v>
      </c>
      <c r="F52" t="s">
        <v>545</v>
      </c>
      <c r="G52">
        <v>250</v>
      </c>
      <c r="H52" s="37" t="s">
        <v>562</v>
      </c>
      <c r="I52" t="s">
        <v>341</v>
      </c>
      <c r="J52" t="s">
        <v>547</v>
      </c>
      <c r="K52" t="s">
        <v>314</v>
      </c>
      <c r="L52" s="33">
        <v>44179.472222222219</v>
      </c>
      <c r="M52" s="15">
        <v>35192</v>
      </c>
      <c r="N52" t="s">
        <v>315</v>
      </c>
      <c r="O52" s="9">
        <v>44278</v>
      </c>
      <c r="S52" t="s">
        <v>316</v>
      </c>
      <c r="T52" t="s">
        <v>585</v>
      </c>
      <c r="U52" t="s">
        <v>586</v>
      </c>
      <c r="V52" t="s">
        <v>587</v>
      </c>
      <c r="W52" t="s">
        <v>429</v>
      </c>
      <c r="X52" t="s">
        <v>321</v>
      </c>
      <c r="Y52" s="35">
        <v>240</v>
      </c>
      <c r="Z52" s="35">
        <v>0</v>
      </c>
      <c r="AA52" s="35">
        <v>0</v>
      </c>
      <c r="AB52" s="35">
        <v>0</v>
      </c>
      <c r="AC52" t="s">
        <v>588</v>
      </c>
      <c r="AD52">
        <v>0</v>
      </c>
      <c r="AE52" t="s">
        <v>323</v>
      </c>
      <c r="AG52" t="s">
        <v>324</v>
      </c>
      <c r="AH52" t="b">
        <v>1</v>
      </c>
      <c r="AI52" t="b">
        <v>1</v>
      </c>
      <c r="AJ52" t="s">
        <v>325</v>
      </c>
      <c r="AK52" t="s">
        <v>326</v>
      </c>
      <c r="AL52" t="s">
        <v>377</v>
      </c>
      <c r="AM52" t="s">
        <v>552</v>
      </c>
      <c r="AN52" t="s">
        <v>553</v>
      </c>
      <c r="AO52" t="s">
        <v>554</v>
      </c>
      <c r="AP52" t="s">
        <v>331</v>
      </c>
      <c r="AQ52" s="35">
        <v>35115</v>
      </c>
      <c r="AR52">
        <v>25</v>
      </c>
      <c r="AT52">
        <v>68.2</v>
      </c>
      <c r="AV52">
        <v>83.2</v>
      </c>
      <c r="AW52">
        <v>237.6</v>
      </c>
      <c r="AX52">
        <v>68.599999999999994</v>
      </c>
      <c r="AY52">
        <v>97.4</v>
      </c>
      <c r="AZ52">
        <v>147.6</v>
      </c>
      <c r="BD52" s="15">
        <v>4998</v>
      </c>
      <c r="BE52" s="15">
        <v>9000</v>
      </c>
      <c r="BG52" s="15">
        <v>3950</v>
      </c>
      <c r="BI52" t="s">
        <v>555</v>
      </c>
      <c r="BJ52" t="s">
        <v>556</v>
      </c>
      <c r="BK52" t="s">
        <v>555</v>
      </c>
      <c r="BL52" t="s">
        <v>556</v>
      </c>
      <c r="BO52" s="37">
        <v>15</v>
      </c>
      <c r="BP52" t="s">
        <v>566</v>
      </c>
      <c r="BR52" t="s">
        <v>360</v>
      </c>
      <c r="BS52" t="s">
        <v>336</v>
      </c>
      <c r="BT52">
        <v>3.8</v>
      </c>
      <c r="BU52" t="s">
        <v>337</v>
      </c>
      <c r="BV52">
        <v>10.5</v>
      </c>
      <c r="BW52">
        <v>6</v>
      </c>
      <c r="BX52">
        <v>3.7</v>
      </c>
      <c r="BY52" t="s">
        <v>398</v>
      </c>
      <c r="BZ52">
        <v>87</v>
      </c>
      <c r="CA52">
        <v>275</v>
      </c>
      <c r="CB52">
        <v>260</v>
      </c>
      <c r="CC52">
        <v>6.5</v>
      </c>
      <c r="CD52">
        <v>6850</v>
      </c>
      <c r="CE52">
        <v>3.4</v>
      </c>
      <c r="CF52">
        <v>24</v>
      </c>
      <c r="CG52" t="s">
        <v>363</v>
      </c>
      <c r="CI52" t="s">
        <v>340</v>
      </c>
      <c r="CJ52">
        <v>6</v>
      </c>
      <c r="CK52">
        <v>277.7</v>
      </c>
      <c r="DH52" s="35">
        <v>0</v>
      </c>
      <c r="DO52" t="s">
        <v>558</v>
      </c>
    </row>
    <row r="53" spans="1:119" x14ac:dyDescent="0.45">
      <c r="A53" t="s">
        <v>142</v>
      </c>
      <c r="B53">
        <v>1326458</v>
      </c>
      <c r="C53" t="s">
        <v>424</v>
      </c>
      <c r="D53">
        <v>2019</v>
      </c>
      <c r="E53" t="s">
        <v>309</v>
      </c>
      <c r="F53" t="s">
        <v>545</v>
      </c>
      <c r="G53">
        <v>250</v>
      </c>
      <c r="H53" s="37" t="s">
        <v>562</v>
      </c>
      <c r="I53" t="s">
        <v>341</v>
      </c>
      <c r="J53" t="s">
        <v>547</v>
      </c>
      <c r="K53" t="s">
        <v>314</v>
      </c>
      <c r="L53" s="33">
        <v>44179.473611111112</v>
      </c>
      <c r="M53" s="15">
        <v>33317</v>
      </c>
      <c r="N53" t="s">
        <v>315</v>
      </c>
      <c r="O53" s="9">
        <v>44277</v>
      </c>
      <c r="S53" t="s">
        <v>316</v>
      </c>
      <c r="T53" t="s">
        <v>589</v>
      </c>
      <c r="U53" t="s">
        <v>590</v>
      </c>
      <c r="V53" t="s">
        <v>591</v>
      </c>
      <c r="W53" t="s">
        <v>429</v>
      </c>
      <c r="X53" t="s">
        <v>321</v>
      </c>
      <c r="Y53" s="35">
        <v>408.54</v>
      </c>
      <c r="Z53" s="35">
        <v>1056.28</v>
      </c>
      <c r="AA53" s="35">
        <v>0</v>
      </c>
      <c r="AB53" s="35">
        <v>0.05</v>
      </c>
      <c r="AC53" t="s">
        <v>592</v>
      </c>
      <c r="AD53">
        <v>0</v>
      </c>
      <c r="AE53" t="s">
        <v>323</v>
      </c>
      <c r="AG53" t="s">
        <v>324</v>
      </c>
      <c r="AH53" t="b">
        <v>1</v>
      </c>
      <c r="AI53" t="b">
        <v>1</v>
      </c>
      <c r="AJ53" t="s">
        <v>325</v>
      </c>
      <c r="AK53" t="s">
        <v>326</v>
      </c>
      <c r="AL53" t="s">
        <v>377</v>
      </c>
      <c r="AM53" t="s">
        <v>552</v>
      </c>
      <c r="AN53" t="s">
        <v>553</v>
      </c>
      <c r="AO53" t="s">
        <v>554</v>
      </c>
      <c r="AP53" t="s">
        <v>331</v>
      </c>
      <c r="AQ53" s="35">
        <v>35115</v>
      </c>
      <c r="AR53">
        <v>25</v>
      </c>
      <c r="AT53">
        <v>68.2</v>
      </c>
      <c r="AV53">
        <v>83.2</v>
      </c>
      <c r="AW53">
        <v>237.6</v>
      </c>
      <c r="AX53">
        <v>68.599999999999994</v>
      </c>
      <c r="AY53">
        <v>97.4</v>
      </c>
      <c r="AZ53">
        <v>147.6</v>
      </c>
      <c r="BD53" s="15">
        <v>4998</v>
      </c>
      <c r="BE53" s="15">
        <v>9000</v>
      </c>
      <c r="BG53" s="15">
        <v>3950</v>
      </c>
      <c r="BI53" t="s">
        <v>555</v>
      </c>
      <c r="BJ53" t="s">
        <v>556</v>
      </c>
      <c r="BK53" t="s">
        <v>555</v>
      </c>
      <c r="BL53" t="s">
        <v>556</v>
      </c>
      <c r="BO53" s="37">
        <v>15</v>
      </c>
      <c r="BP53" t="s">
        <v>566</v>
      </c>
      <c r="BR53" t="s">
        <v>360</v>
      </c>
      <c r="BS53" t="s">
        <v>336</v>
      </c>
      <c r="BT53">
        <v>3.8</v>
      </c>
      <c r="BU53" t="s">
        <v>337</v>
      </c>
      <c r="BV53">
        <v>10.5</v>
      </c>
      <c r="BW53">
        <v>6</v>
      </c>
      <c r="BX53">
        <v>3.7</v>
      </c>
      <c r="BY53" t="s">
        <v>398</v>
      </c>
      <c r="BZ53">
        <v>87</v>
      </c>
      <c r="CA53">
        <v>275</v>
      </c>
      <c r="CB53">
        <v>260</v>
      </c>
      <c r="CC53">
        <v>6.5</v>
      </c>
      <c r="CD53">
        <v>6850</v>
      </c>
      <c r="CE53">
        <v>3.4</v>
      </c>
      <c r="CF53">
        <v>24</v>
      </c>
      <c r="CG53" t="s">
        <v>363</v>
      </c>
      <c r="CI53" t="s">
        <v>340</v>
      </c>
      <c r="CJ53">
        <v>6</v>
      </c>
      <c r="CK53">
        <v>277.7</v>
      </c>
      <c r="DH53" s="35">
        <v>0</v>
      </c>
      <c r="DO53" t="s">
        <v>558</v>
      </c>
    </row>
    <row r="54" spans="1:119" x14ac:dyDescent="0.45">
      <c r="A54" t="s">
        <v>593</v>
      </c>
      <c r="B54">
        <v>1328027</v>
      </c>
      <c r="C54" t="s">
        <v>81</v>
      </c>
      <c r="D54">
        <v>2019</v>
      </c>
      <c r="E54" t="s">
        <v>309</v>
      </c>
      <c r="F54" t="s">
        <v>545</v>
      </c>
      <c r="G54">
        <v>250</v>
      </c>
      <c r="H54" s="37" t="s">
        <v>562</v>
      </c>
      <c r="I54" t="s">
        <v>341</v>
      </c>
      <c r="J54" t="s">
        <v>547</v>
      </c>
      <c r="K54" t="s">
        <v>314</v>
      </c>
      <c r="L54" s="33">
        <v>44181.022222222222</v>
      </c>
      <c r="M54" s="15">
        <v>1077</v>
      </c>
      <c r="N54" t="s">
        <v>315</v>
      </c>
      <c r="O54" s="9">
        <v>44279</v>
      </c>
      <c r="S54" t="s">
        <v>538</v>
      </c>
      <c r="T54" t="s">
        <v>373</v>
      </c>
      <c r="U54" t="s">
        <v>594</v>
      </c>
      <c r="X54" t="s">
        <v>321</v>
      </c>
      <c r="Y54" s="35">
        <v>0</v>
      </c>
      <c r="Z54" s="35">
        <v>0</v>
      </c>
      <c r="AA54" s="35">
        <v>0</v>
      </c>
      <c r="AB54" s="35">
        <v>0</v>
      </c>
      <c r="AC54" t="s">
        <v>595</v>
      </c>
      <c r="AD54">
        <v>0</v>
      </c>
      <c r="AE54" t="s">
        <v>323</v>
      </c>
      <c r="AG54" t="s">
        <v>324</v>
      </c>
      <c r="AH54" t="b">
        <v>1</v>
      </c>
      <c r="AI54" t="b">
        <v>1</v>
      </c>
      <c r="AJ54" t="s">
        <v>325</v>
      </c>
      <c r="AK54" t="s">
        <v>326</v>
      </c>
      <c r="AL54" t="s">
        <v>377</v>
      </c>
      <c r="AM54" t="s">
        <v>552</v>
      </c>
      <c r="AN54" t="s">
        <v>553</v>
      </c>
      <c r="AO54" t="s">
        <v>554</v>
      </c>
      <c r="AP54" t="s">
        <v>331</v>
      </c>
      <c r="AQ54" s="35">
        <v>35115</v>
      </c>
      <c r="AR54">
        <v>25</v>
      </c>
      <c r="AT54">
        <v>68.2</v>
      </c>
      <c r="AV54">
        <v>83.2</v>
      </c>
      <c r="AW54">
        <v>237.6</v>
      </c>
      <c r="AX54">
        <v>68.599999999999994</v>
      </c>
      <c r="AY54">
        <v>97.4</v>
      </c>
      <c r="AZ54">
        <v>147.6</v>
      </c>
      <c r="BD54" s="15">
        <v>4998</v>
      </c>
      <c r="BE54" s="15">
        <v>9000</v>
      </c>
      <c r="BG54" s="15">
        <v>3950</v>
      </c>
      <c r="BI54" t="s">
        <v>555</v>
      </c>
      <c r="BJ54" t="s">
        <v>556</v>
      </c>
      <c r="BK54" t="s">
        <v>555</v>
      </c>
      <c r="BL54" t="s">
        <v>556</v>
      </c>
      <c r="BO54" s="37">
        <v>15</v>
      </c>
      <c r="BP54" t="s">
        <v>566</v>
      </c>
      <c r="BR54" t="s">
        <v>360</v>
      </c>
      <c r="BS54" t="s">
        <v>336</v>
      </c>
      <c r="BT54">
        <v>3.8</v>
      </c>
      <c r="BU54" t="s">
        <v>337</v>
      </c>
      <c r="BV54">
        <v>10.5</v>
      </c>
      <c r="BW54">
        <v>6</v>
      </c>
      <c r="BX54">
        <v>3.7</v>
      </c>
      <c r="BY54" t="s">
        <v>398</v>
      </c>
      <c r="BZ54">
        <v>87</v>
      </c>
      <c r="CA54">
        <v>275</v>
      </c>
      <c r="CB54">
        <v>260</v>
      </c>
      <c r="CC54">
        <v>6.5</v>
      </c>
      <c r="CD54">
        <v>6850</v>
      </c>
      <c r="CE54">
        <v>3.4</v>
      </c>
      <c r="CF54">
        <v>24</v>
      </c>
      <c r="CG54" t="s">
        <v>363</v>
      </c>
      <c r="CI54" t="s">
        <v>340</v>
      </c>
      <c r="CJ54">
        <v>6</v>
      </c>
      <c r="CK54">
        <v>277.7</v>
      </c>
      <c r="DH54" s="35">
        <v>0</v>
      </c>
      <c r="DO54" t="s">
        <v>558</v>
      </c>
    </row>
    <row r="55" spans="1:119" x14ac:dyDescent="0.45">
      <c r="A55" t="s">
        <v>596</v>
      </c>
      <c r="B55">
        <v>1328028</v>
      </c>
      <c r="C55" t="s">
        <v>81</v>
      </c>
      <c r="D55">
        <v>2019</v>
      </c>
      <c r="E55" t="s">
        <v>309</v>
      </c>
      <c r="F55" t="s">
        <v>545</v>
      </c>
      <c r="G55">
        <v>250</v>
      </c>
      <c r="H55" s="37" t="s">
        <v>562</v>
      </c>
      <c r="J55" t="s">
        <v>547</v>
      </c>
      <c r="K55" t="s">
        <v>314</v>
      </c>
      <c r="L55" s="33">
        <v>44181.022222222222</v>
      </c>
      <c r="M55" s="15">
        <v>28855</v>
      </c>
      <c r="N55" t="s">
        <v>315</v>
      </c>
      <c r="O55" s="9">
        <v>44246</v>
      </c>
      <c r="S55" t="s">
        <v>538</v>
      </c>
      <c r="T55" t="s">
        <v>373</v>
      </c>
      <c r="U55" t="s">
        <v>597</v>
      </c>
      <c r="X55" t="s">
        <v>321</v>
      </c>
      <c r="Y55" s="35">
        <v>0</v>
      </c>
      <c r="Z55" s="35">
        <v>46.95</v>
      </c>
      <c r="AA55" s="35">
        <v>0</v>
      </c>
      <c r="AB55" s="35">
        <v>0</v>
      </c>
      <c r="AC55" t="s">
        <v>496</v>
      </c>
      <c r="AD55">
        <v>0</v>
      </c>
      <c r="AE55" t="s">
        <v>323</v>
      </c>
      <c r="AG55" t="s">
        <v>324</v>
      </c>
      <c r="AH55" t="b">
        <v>1</v>
      </c>
      <c r="AI55" t="b">
        <v>1</v>
      </c>
      <c r="AJ55" t="s">
        <v>325</v>
      </c>
      <c r="AK55" t="s">
        <v>326</v>
      </c>
      <c r="AL55" t="s">
        <v>377</v>
      </c>
      <c r="AM55" t="s">
        <v>552</v>
      </c>
      <c r="AN55" t="s">
        <v>553</v>
      </c>
      <c r="AO55" t="s">
        <v>554</v>
      </c>
      <c r="AP55" t="s">
        <v>331</v>
      </c>
      <c r="AQ55" s="35">
        <v>35115</v>
      </c>
      <c r="AR55">
        <v>25</v>
      </c>
      <c r="AT55">
        <v>68.2</v>
      </c>
      <c r="AV55">
        <v>83.2</v>
      </c>
      <c r="AW55">
        <v>237.6</v>
      </c>
      <c r="AX55">
        <v>68.599999999999994</v>
      </c>
      <c r="AY55">
        <v>97.4</v>
      </c>
      <c r="AZ55">
        <v>147.6</v>
      </c>
      <c r="BD55" s="15">
        <v>4998</v>
      </c>
      <c r="BE55" s="15">
        <v>9000</v>
      </c>
      <c r="BG55" s="15">
        <v>3950</v>
      </c>
      <c r="BI55" t="s">
        <v>555</v>
      </c>
      <c r="BJ55" t="s">
        <v>556</v>
      </c>
      <c r="BK55" t="s">
        <v>555</v>
      </c>
      <c r="BL55" t="s">
        <v>556</v>
      </c>
      <c r="BO55" s="37">
        <v>15</v>
      </c>
      <c r="BP55" t="s">
        <v>566</v>
      </c>
      <c r="BR55" t="s">
        <v>360</v>
      </c>
      <c r="BS55" t="s">
        <v>336</v>
      </c>
      <c r="BT55">
        <v>3.8</v>
      </c>
      <c r="BU55" t="s">
        <v>337</v>
      </c>
      <c r="BV55">
        <v>10.5</v>
      </c>
      <c r="BW55">
        <v>6</v>
      </c>
      <c r="BX55">
        <v>3.7</v>
      </c>
      <c r="BY55" t="s">
        <v>398</v>
      </c>
      <c r="BZ55">
        <v>87</v>
      </c>
      <c r="CA55">
        <v>275</v>
      </c>
      <c r="CB55">
        <v>260</v>
      </c>
      <c r="CC55">
        <v>6.5</v>
      </c>
      <c r="CD55">
        <v>6850</v>
      </c>
      <c r="CE55">
        <v>3.4</v>
      </c>
      <c r="CF55">
        <v>24</v>
      </c>
      <c r="CG55" t="s">
        <v>363</v>
      </c>
      <c r="CI55" t="s">
        <v>340</v>
      </c>
      <c r="CJ55">
        <v>6</v>
      </c>
      <c r="CK55">
        <v>277.7</v>
      </c>
      <c r="DH55" s="35">
        <v>0</v>
      </c>
      <c r="DO55" t="s">
        <v>558</v>
      </c>
    </row>
    <row r="56" spans="1:119" x14ac:dyDescent="0.45">
      <c r="A56" t="s">
        <v>149</v>
      </c>
      <c r="B56">
        <v>1328031</v>
      </c>
      <c r="C56" t="s">
        <v>84</v>
      </c>
      <c r="D56">
        <v>2017</v>
      </c>
      <c r="E56" t="s">
        <v>309</v>
      </c>
      <c r="F56" t="s">
        <v>545</v>
      </c>
      <c r="G56">
        <v>250</v>
      </c>
      <c r="H56" s="37" t="s">
        <v>598</v>
      </c>
      <c r="I56" t="s">
        <v>341</v>
      </c>
      <c r="J56" t="s">
        <v>547</v>
      </c>
      <c r="K56" t="s">
        <v>314</v>
      </c>
      <c r="L56" s="33">
        <v>44181.022916666669</v>
      </c>
      <c r="M56" s="15">
        <v>141991</v>
      </c>
      <c r="N56" t="s">
        <v>315</v>
      </c>
      <c r="O56" s="9">
        <v>44278</v>
      </c>
      <c r="S56" t="s">
        <v>316</v>
      </c>
      <c r="T56" t="s">
        <v>599</v>
      </c>
      <c r="U56" t="s">
        <v>600</v>
      </c>
      <c r="W56" t="s">
        <v>501</v>
      </c>
      <c r="X56" t="s">
        <v>321</v>
      </c>
      <c r="Y56" s="35">
        <v>3223.56</v>
      </c>
      <c r="Z56" s="35">
        <v>750.31</v>
      </c>
      <c r="AA56" s="35">
        <v>0</v>
      </c>
      <c r="AB56" s="35">
        <v>0.02</v>
      </c>
      <c r="AC56" t="s">
        <v>601</v>
      </c>
      <c r="AD56">
        <v>0</v>
      </c>
      <c r="AE56" t="s">
        <v>323</v>
      </c>
      <c r="AG56" t="s">
        <v>324</v>
      </c>
      <c r="AH56" t="b">
        <v>1</v>
      </c>
      <c r="AI56" t="b">
        <v>1</v>
      </c>
      <c r="AJ56" t="s">
        <v>325</v>
      </c>
      <c r="AK56" t="s">
        <v>326</v>
      </c>
      <c r="AL56" t="s">
        <v>377</v>
      </c>
      <c r="AM56" t="s">
        <v>552</v>
      </c>
      <c r="AN56" t="s">
        <v>553</v>
      </c>
      <c r="AO56" t="s">
        <v>554</v>
      </c>
      <c r="AP56" t="s">
        <v>331</v>
      </c>
      <c r="AQ56" s="35">
        <v>34590</v>
      </c>
      <c r="AR56">
        <v>25</v>
      </c>
      <c r="AT56">
        <v>68.2</v>
      </c>
      <c r="AV56">
        <v>100.7</v>
      </c>
      <c r="AW56">
        <v>235.5</v>
      </c>
      <c r="AX56">
        <v>68.599999999999994</v>
      </c>
      <c r="AY56">
        <v>97.4</v>
      </c>
      <c r="AZ56">
        <v>147.6</v>
      </c>
      <c r="BD56" s="15">
        <v>5143</v>
      </c>
      <c r="BE56" s="15">
        <v>9000</v>
      </c>
      <c r="BG56" s="15">
        <v>3800</v>
      </c>
      <c r="BI56" t="s">
        <v>555</v>
      </c>
      <c r="BJ56" t="s">
        <v>556</v>
      </c>
      <c r="BK56" t="s">
        <v>555</v>
      </c>
      <c r="BL56" t="s">
        <v>556</v>
      </c>
      <c r="BO56" s="37">
        <v>15</v>
      </c>
      <c r="BP56" t="s">
        <v>566</v>
      </c>
      <c r="BR56" t="s">
        <v>360</v>
      </c>
      <c r="BS56" t="s">
        <v>336</v>
      </c>
      <c r="BT56">
        <v>3.8</v>
      </c>
      <c r="BU56" t="s">
        <v>337</v>
      </c>
      <c r="BV56">
        <v>10.5</v>
      </c>
      <c r="BW56">
        <v>6</v>
      </c>
      <c r="BX56">
        <v>3.7</v>
      </c>
      <c r="BY56" t="s">
        <v>398</v>
      </c>
      <c r="BZ56">
        <v>87</v>
      </c>
      <c r="CA56">
        <v>275</v>
      </c>
      <c r="CB56">
        <v>260</v>
      </c>
      <c r="CC56">
        <v>6.5</v>
      </c>
      <c r="CD56">
        <v>6850</v>
      </c>
      <c r="CE56">
        <v>3.4</v>
      </c>
      <c r="CF56">
        <v>24</v>
      </c>
      <c r="CG56" t="s">
        <v>363</v>
      </c>
      <c r="CI56" t="s">
        <v>340</v>
      </c>
      <c r="CJ56">
        <v>6</v>
      </c>
      <c r="CK56">
        <v>357.1</v>
      </c>
      <c r="DH56" s="35">
        <v>0</v>
      </c>
      <c r="DO56" t="s">
        <v>558</v>
      </c>
    </row>
    <row r="57" spans="1:119" x14ac:dyDescent="0.45">
      <c r="A57" t="s">
        <v>148</v>
      </c>
      <c r="B57">
        <v>1328032</v>
      </c>
      <c r="C57" t="s">
        <v>84</v>
      </c>
      <c r="D57">
        <v>2016</v>
      </c>
      <c r="E57" t="s">
        <v>309</v>
      </c>
      <c r="F57" t="s">
        <v>545</v>
      </c>
      <c r="G57">
        <v>350</v>
      </c>
      <c r="H57" s="37" t="s">
        <v>602</v>
      </c>
      <c r="I57" t="s">
        <v>341</v>
      </c>
      <c r="J57" t="s">
        <v>547</v>
      </c>
      <c r="K57" t="s">
        <v>494</v>
      </c>
      <c r="L57" s="33">
        <v>44181.022916666669</v>
      </c>
      <c r="M57" s="15">
        <v>95408</v>
      </c>
      <c r="N57" t="s">
        <v>315</v>
      </c>
      <c r="O57" s="9">
        <v>44277</v>
      </c>
      <c r="S57" t="s">
        <v>316</v>
      </c>
      <c r="T57" t="s">
        <v>603</v>
      </c>
      <c r="U57" t="s">
        <v>604</v>
      </c>
      <c r="W57" t="s">
        <v>501</v>
      </c>
      <c r="X57" t="s">
        <v>321</v>
      </c>
      <c r="Y57" s="35">
        <v>4217.18</v>
      </c>
      <c r="Z57" s="35">
        <v>350.01</v>
      </c>
      <c r="AA57" s="35">
        <v>0</v>
      </c>
      <c r="AB57" s="35">
        <v>0.04</v>
      </c>
      <c r="AC57" t="s">
        <v>605</v>
      </c>
      <c r="AD57">
        <v>0</v>
      </c>
      <c r="AE57" t="s">
        <v>323</v>
      </c>
      <c r="AG57" t="s">
        <v>324</v>
      </c>
      <c r="AH57" t="b">
        <v>1</v>
      </c>
      <c r="AI57" t="b">
        <v>1</v>
      </c>
      <c r="AJ57" t="s">
        <v>325</v>
      </c>
      <c r="AK57" t="s">
        <v>326</v>
      </c>
      <c r="AL57" t="s">
        <v>377</v>
      </c>
      <c r="AM57" t="s">
        <v>552</v>
      </c>
      <c r="AN57" t="s">
        <v>553</v>
      </c>
      <c r="AO57" t="s">
        <v>554</v>
      </c>
      <c r="AP57" t="s">
        <v>331</v>
      </c>
      <c r="AQ57" s="35">
        <v>35465</v>
      </c>
      <c r="AR57">
        <v>25</v>
      </c>
      <c r="AT57">
        <v>68.2</v>
      </c>
      <c r="AV57">
        <v>100.7</v>
      </c>
      <c r="AW57">
        <v>237.6</v>
      </c>
      <c r="AX57">
        <v>68.599999999999994</v>
      </c>
      <c r="AY57">
        <v>97.4</v>
      </c>
      <c r="AZ57">
        <v>147.6</v>
      </c>
      <c r="BD57" s="15">
        <v>5143</v>
      </c>
      <c r="BE57" s="15">
        <v>9500</v>
      </c>
      <c r="BG57" s="15">
        <v>4300</v>
      </c>
      <c r="BI57" t="s">
        <v>555</v>
      </c>
      <c r="BJ57" t="s">
        <v>556</v>
      </c>
      <c r="BK57" t="s">
        <v>555</v>
      </c>
      <c r="BL57" t="s">
        <v>556</v>
      </c>
      <c r="BO57" s="37">
        <v>15</v>
      </c>
      <c r="BP57" t="s">
        <v>606</v>
      </c>
      <c r="BR57" t="s">
        <v>360</v>
      </c>
      <c r="BS57" t="s">
        <v>336</v>
      </c>
      <c r="BT57">
        <v>3.8</v>
      </c>
      <c r="BU57" t="s">
        <v>337</v>
      </c>
      <c r="BV57">
        <v>10.5</v>
      </c>
      <c r="BW57">
        <v>6</v>
      </c>
      <c r="BX57">
        <v>3.7</v>
      </c>
      <c r="BY57" t="s">
        <v>398</v>
      </c>
      <c r="BZ57">
        <v>87</v>
      </c>
      <c r="CA57">
        <v>275</v>
      </c>
      <c r="CB57">
        <v>260</v>
      </c>
      <c r="CC57">
        <v>6.5</v>
      </c>
      <c r="CD57">
        <v>6850</v>
      </c>
      <c r="CE57">
        <v>3.4</v>
      </c>
      <c r="CF57">
        <v>24</v>
      </c>
      <c r="CG57" t="s">
        <v>363</v>
      </c>
      <c r="CI57" t="s">
        <v>340</v>
      </c>
      <c r="CJ57">
        <v>6</v>
      </c>
      <c r="CK57">
        <v>357.1</v>
      </c>
      <c r="DH57" s="35">
        <v>0</v>
      </c>
      <c r="DO57" t="s">
        <v>558</v>
      </c>
    </row>
    <row r="58" spans="1:119" x14ac:dyDescent="0.45">
      <c r="A58" t="s">
        <v>151</v>
      </c>
      <c r="B58">
        <v>1328033</v>
      </c>
      <c r="C58" t="s">
        <v>84</v>
      </c>
      <c r="D58">
        <v>2017</v>
      </c>
      <c r="E58" t="s">
        <v>309</v>
      </c>
      <c r="F58" t="s">
        <v>545</v>
      </c>
      <c r="G58">
        <v>250</v>
      </c>
      <c r="H58" s="37" t="s">
        <v>598</v>
      </c>
      <c r="I58" t="s">
        <v>341</v>
      </c>
      <c r="J58" t="s">
        <v>547</v>
      </c>
      <c r="K58" t="s">
        <v>314</v>
      </c>
      <c r="L58" s="33">
        <v>44181.022916666669</v>
      </c>
      <c r="M58" s="34">
        <v>76480.899999999994</v>
      </c>
      <c r="N58" t="s">
        <v>315</v>
      </c>
      <c r="O58" s="9">
        <v>44279</v>
      </c>
      <c r="S58" t="s">
        <v>316</v>
      </c>
      <c r="T58" t="s">
        <v>607</v>
      </c>
      <c r="U58" t="s">
        <v>608</v>
      </c>
      <c r="W58" t="s">
        <v>501</v>
      </c>
      <c r="X58" t="s">
        <v>321</v>
      </c>
      <c r="Y58" s="35">
        <v>3705.83</v>
      </c>
      <c r="Z58" s="35">
        <v>224.69</v>
      </c>
      <c r="AA58" s="35">
        <v>0</v>
      </c>
      <c r="AB58" s="35">
        <v>0.05</v>
      </c>
      <c r="AC58" t="s">
        <v>609</v>
      </c>
      <c r="AD58">
        <v>0</v>
      </c>
      <c r="AE58" t="s">
        <v>323</v>
      </c>
      <c r="AG58" t="s">
        <v>324</v>
      </c>
      <c r="AH58" t="b">
        <v>1</v>
      </c>
      <c r="AI58" t="b">
        <v>1</v>
      </c>
      <c r="AJ58" t="s">
        <v>325</v>
      </c>
      <c r="AK58" t="s">
        <v>326</v>
      </c>
      <c r="AL58" t="s">
        <v>377</v>
      </c>
      <c r="AM58" t="s">
        <v>552</v>
      </c>
      <c r="AN58" t="s">
        <v>553</v>
      </c>
      <c r="AO58" t="s">
        <v>554</v>
      </c>
      <c r="AP58" t="s">
        <v>331</v>
      </c>
      <c r="AQ58" s="35">
        <v>34590</v>
      </c>
      <c r="AR58">
        <v>25</v>
      </c>
      <c r="AT58">
        <v>68.2</v>
      </c>
      <c r="AV58">
        <v>100.7</v>
      </c>
      <c r="AW58">
        <v>235.5</v>
      </c>
      <c r="AX58">
        <v>68.599999999999994</v>
      </c>
      <c r="AY58">
        <v>97.4</v>
      </c>
      <c r="AZ58">
        <v>147.6</v>
      </c>
      <c r="BD58" s="15">
        <v>5143</v>
      </c>
      <c r="BE58" s="15">
        <v>9000</v>
      </c>
      <c r="BG58" s="15">
        <v>3800</v>
      </c>
      <c r="BI58" t="s">
        <v>555</v>
      </c>
      <c r="BJ58" t="s">
        <v>556</v>
      </c>
      <c r="BK58" t="s">
        <v>555</v>
      </c>
      <c r="BL58" t="s">
        <v>556</v>
      </c>
      <c r="BO58" s="37">
        <v>15</v>
      </c>
      <c r="BP58" t="s">
        <v>566</v>
      </c>
      <c r="BR58" t="s">
        <v>360</v>
      </c>
      <c r="BS58" t="s">
        <v>336</v>
      </c>
      <c r="BT58">
        <v>3.8</v>
      </c>
      <c r="BU58" t="s">
        <v>337</v>
      </c>
      <c r="BV58">
        <v>10.5</v>
      </c>
      <c r="BW58">
        <v>6</v>
      </c>
      <c r="BX58">
        <v>3.7</v>
      </c>
      <c r="BY58" t="s">
        <v>398</v>
      </c>
      <c r="BZ58">
        <v>87</v>
      </c>
      <c r="CA58">
        <v>275</v>
      </c>
      <c r="CB58">
        <v>260</v>
      </c>
      <c r="CC58">
        <v>6.5</v>
      </c>
      <c r="CD58">
        <v>6850</v>
      </c>
      <c r="CE58">
        <v>3.4</v>
      </c>
      <c r="CF58">
        <v>24</v>
      </c>
      <c r="CG58" t="s">
        <v>363</v>
      </c>
      <c r="CI58" t="s">
        <v>340</v>
      </c>
      <c r="CJ58">
        <v>6</v>
      </c>
      <c r="CK58">
        <v>357.1</v>
      </c>
      <c r="DH58" s="35">
        <v>0</v>
      </c>
      <c r="DO58" t="s">
        <v>558</v>
      </c>
    </row>
    <row r="59" spans="1:119" x14ac:dyDescent="0.45">
      <c r="A59" t="s">
        <v>150</v>
      </c>
      <c r="B59">
        <v>1328034</v>
      </c>
      <c r="C59" t="s">
        <v>84</v>
      </c>
      <c r="D59">
        <v>2017</v>
      </c>
      <c r="E59" t="s">
        <v>309</v>
      </c>
      <c r="F59" t="s">
        <v>545</v>
      </c>
      <c r="G59">
        <v>250</v>
      </c>
      <c r="H59" s="37" t="s">
        <v>598</v>
      </c>
      <c r="I59" t="s">
        <v>341</v>
      </c>
      <c r="J59" t="s">
        <v>547</v>
      </c>
      <c r="K59" t="s">
        <v>314</v>
      </c>
      <c r="L59" s="33">
        <v>44181.022916666669</v>
      </c>
      <c r="M59" s="34">
        <v>109546.3</v>
      </c>
      <c r="N59" t="s">
        <v>315</v>
      </c>
      <c r="O59" s="9">
        <v>44278</v>
      </c>
      <c r="S59" t="s">
        <v>316</v>
      </c>
      <c r="T59" t="s">
        <v>610</v>
      </c>
      <c r="U59" t="s">
        <v>611</v>
      </c>
      <c r="W59" t="s">
        <v>501</v>
      </c>
      <c r="X59" t="s">
        <v>321</v>
      </c>
      <c r="Y59" s="35">
        <v>0</v>
      </c>
      <c r="Z59" s="35">
        <v>48.89</v>
      </c>
      <c r="AA59" s="35">
        <v>0</v>
      </c>
      <c r="AB59" s="35">
        <v>0</v>
      </c>
      <c r="AC59" t="s">
        <v>612</v>
      </c>
      <c r="AD59">
        <v>0</v>
      </c>
      <c r="AE59" t="s">
        <v>323</v>
      </c>
      <c r="AG59" t="s">
        <v>324</v>
      </c>
      <c r="AH59" t="b">
        <v>1</v>
      </c>
      <c r="AI59" t="b">
        <v>1</v>
      </c>
      <c r="AJ59" t="s">
        <v>325</v>
      </c>
      <c r="AK59" t="s">
        <v>326</v>
      </c>
      <c r="AL59" t="s">
        <v>377</v>
      </c>
      <c r="AM59" t="s">
        <v>552</v>
      </c>
      <c r="AN59" t="s">
        <v>553</v>
      </c>
      <c r="AO59" t="s">
        <v>554</v>
      </c>
      <c r="AP59" t="s">
        <v>331</v>
      </c>
      <c r="AQ59" s="35">
        <v>34590</v>
      </c>
      <c r="AR59">
        <v>25</v>
      </c>
      <c r="AT59">
        <v>68.2</v>
      </c>
      <c r="AV59">
        <v>100.7</v>
      </c>
      <c r="AW59">
        <v>235.5</v>
      </c>
      <c r="AX59">
        <v>68.599999999999994</v>
      </c>
      <c r="AY59">
        <v>97.4</v>
      </c>
      <c r="AZ59">
        <v>147.6</v>
      </c>
      <c r="BD59" s="15">
        <v>5143</v>
      </c>
      <c r="BE59" s="15">
        <v>9000</v>
      </c>
      <c r="BG59" s="15">
        <v>3800</v>
      </c>
      <c r="BI59" t="s">
        <v>555</v>
      </c>
      <c r="BJ59" t="s">
        <v>556</v>
      </c>
      <c r="BK59" t="s">
        <v>555</v>
      </c>
      <c r="BL59" t="s">
        <v>556</v>
      </c>
      <c r="BO59" s="37">
        <v>15</v>
      </c>
      <c r="BP59" t="s">
        <v>566</v>
      </c>
      <c r="BR59" t="s">
        <v>360</v>
      </c>
      <c r="BS59" t="s">
        <v>336</v>
      </c>
      <c r="BT59">
        <v>3.8</v>
      </c>
      <c r="BU59" t="s">
        <v>337</v>
      </c>
      <c r="BV59">
        <v>10.5</v>
      </c>
      <c r="BW59">
        <v>6</v>
      </c>
      <c r="BX59">
        <v>3.7</v>
      </c>
      <c r="BY59" t="s">
        <v>398</v>
      </c>
      <c r="BZ59">
        <v>87</v>
      </c>
      <c r="CA59">
        <v>275</v>
      </c>
      <c r="CB59">
        <v>260</v>
      </c>
      <c r="CC59">
        <v>6.5</v>
      </c>
      <c r="CD59">
        <v>6850</v>
      </c>
      <c r="CE59">
        <v>3.4</v>
      </c>
      <c r="CF59">
        <v>24</v>
      </c>
      <c r="CG59" t="s">
        <v>363</v>
      </c>
      <c r="CI59" t="s">
        <v>340</v>
      </c>
      <c r="CJ59">
        <v>6</v>
      </c>
      <c r="CK59">
        <v>357.1</v>
      </c>
      <c r="DH59" s="35">
        <v>0</v>
      </c>
      <c r="DO59" t="s">
        <v>558</v>
      </c>
    </row>
    <row r="60" spans="1:119" x14ac:dyDescent="0.45">
      <c r="A60" t="s">
        <v>122</v>
      </c>
      <c r="B60">
        <v>1328043</v>
      </c>
      <c r="C60" t="s">
        <v>513</v>
      </c>
      <c r="D60">
        <v>2019</v>
      </c>
      <c r="E60" t="s">
        <v>309</v>
      </c>
      <c r="F60" t="s">
        <v>545</v>
      </c>
      <c r="G60">
        <v>250</v>
      </c>
      <c r="H60" s="37" t="s">
        <v>562</v>
      </c>
      <c r="J60" t="s">
        <v>547</v>
      </c>
      <c r="K60" t="s">
        <v>314</v>
      </c>
      <c r="L60" s="33">
        <v>44181.022916666669</v>
      </c>
      <c r="M60" s="34">
        <v>38141.300000000003</v>
      </c>
      <c r="N60" t="s">
        <v>315</v>
      </c>
      <c r="O60" s="9">
        <v>44252</v>
      </c>
      <c r="S60" t="s">
        <v>316</v>
      </c>
      <c r="T60" t="s">
        <v>373</v>
      </c>
      <c r="U60" t="s">
        <v>613</v>
      </c>
      <c r="X60" t="s">
        <v>321</v>
      </c>
      <c r="Y60" s="35">
        <v>539.36</v>
      </c>
      <c r="Z60" s="35">
        <v>1509.99</v>
      </c>
      <c r="AA60" s="35">
        <v>0</v>
      </c>
      <c r="AB60" s="35">
        <v>0.08</v>
      </c>
      <c r="AC60" t="s">
        <v>614</v>
      </c>
      <c r="AD60">
        <v>0</v>
      </c>
      <c r="AE60" t="s">
        <v>323</v>
      </c>
      <c r="AG60" t="s">
        <v>324</v>
      </c>
      <c r="AH60" t="b">
        <v>1</v>
      </c>
      <c r="AI60" t="b">
        <v>1</v>
      </c>
      <c r="AJ60" t="s">
        <v>325</v>
      </c>
      <c r="AK60" t="s">
        <v>326</v>
      </c>
      <c r="AL60" t="s">
        <v>377</v>
      </c>
      <c r="AM60" t="s">
        <v>552</v>
      </c>
      <c r="AN60" t="s">
        <v>553</v>
      </c>
      <c r="AO60" t="s">
        <v>554</v>
      </c>
      <c r="AP60" t="s">
        <v>331</v>
      </c>
      <c r="AQ60" s="35">
        <v>34960</v>
      </c>
      <c r="AR60">
        <v>25</v>
      </c>
      <c r="AT60">
        <v>68.2</v>
      </c>
      <c r="AV60">
        <v>83.2</v>
      </c>
      <c r="AW60">
        <v>237.6</v>
      </c>
      <c r="AX60">
        <v>68.599999999999994</v>
      </c>
      <c r="AY60">
        <v>97.4</v>
      </c>
      <c r="AZ60">
        <v>147.6</v>
      </c>
      <c r="BD60" s="15">
        <v>4998</v>
      </c>
      <c r="BE60" s="15">
        <v>9000</v>
      </c>
      <c r="BG60" s="15">
        <v>3950</v>
      </c>
      <c r="BI60" t="s">
        <v>555</v>
      </c>
      <c r="BJ60" t="s">
        <v>556</v>
      </c>
      <c r="BK60" t="s">
        <v>555</v>
      </c>
      <c r="BL60" t="s">
        <v>556</v>
      </c>
      <c r="BO60" s="37">
        <v>15</v>
      </c>
      <c r="BP60" t="s">
        <v>566</v>
      </c>
      <c r="BR60" t="s">
        <v>360</v>
      </c>
      <c r="BS60" t="s">
        <v>336</v>
      </c>
      <c r="BT60">
        <v>3.8</v>
      </c>
      <c r="BU60" t="s">
        <v>337</v>
      </c>
      <c r="BV60">
        <v>10.5</v>
      </c>
      <c r="BW60">
        <v>6</v>
      </c>
      <c r="BX60">
        <v>3.7</v>
      </c>
      <c r="BY60" t="s">
        <v>398</v>
      </c>
      <c r="BZ60">
        <v>87</v>
      </c>
      <c r="CA60">
        <v>275</v>
      </c>
      <c r="CB60">
        <v>260</v>
      </c>
      <c r="CC60">
        <v>6.5</v>
      </c>
      <c r="CD60">
        <v>6850</v>
      </c>
      <c r="CE60">
        <v>3.4</v>
      </c>
      <c r="CF60">
        <v>24</v>
      </c>
      <c r="CG60" t="s">
        <v>363</v>
      </c>
      <c r="CI60" t="s">
        <v>340</v>
      </c>
      <c r="CJ60">
        <v>6</v>
      </c>
      <c r="CK60">
        <v>277.7</v>
      </c>
      <c r="DH60" s="35">
        <v>0</v>
      </c>
      <c r="DO60" t="s">
        <v>558</v>
      </c>
    </row>
    <row r="61" spans="1:119" x14ac:dyDescent="0.45">
      <c r="A61" t="s">
        <v>123</v>
      </c>
      <c r="B61">
        <v>1328044</v>
      </c>
      <c r="C61" t="s">
        <v>513</v>
      </c>
      <c r="D61">
        <v>2019</v>
      </c>
      <c r="E61" t="s">
        <v>309</v>
      </c>
      <c r="F61" t="s">
        <v>545</v>
      </c>
      <c r="G61">
        <v>250</v>
      </c>
      <c r="H61" s="37" t="s">
        <v>562</v>
      </c>
      <c r="I61" t="s">
        <v>341</v>
      </c>
      <c r="J61" t="s">
        <v>547</v>
      </c>
      <c r="K61" t="s">
        <v>314</v>
      </c>
      <c r="L61" s="33">
        <v>44181.022916666669</v>
      </c>
      <c r="M61" s="34">
        <v>68203.3</v>
      </c>
      <c r="N61" t="s">
        <v>315</v>
      </c>
      <c r="O61" s="9">
        <v>44278</v>
      </c>
      <c r="S61" t="s">
        <v>316</v>
      </c>
      <c r="T61" t="s">
        <v>615</v>
      </c>
      <c r="U61" t="s">
        <v>616</v>
      </c>
      <c r="W61" t="s">
        <v>429</v>
      </c>
      <c r="X61" t="s">
        <v>321</v>
      </c>
      <c r="Y61" s="35">
        <v>324.01</v>
      </c>
      <c r="Z61" s="35">
        <v>0</v>
      </c>
      <c r="AA61" s="35">
        <v>0</v>
      </c>
      <c r="AB61" s="35">
        <v>0</v>
      </c>
      <c r="AC61" t="s">
        <v>617</v>
      </c>
      <c r="AD61">
        <v>0</v>
      </c>
      <c r="AE61" t="s">
        <v>323</v>
      </c>
      <c r="AG61" t="s">
        <v>324</v>
      </c>
      <c r="AH61" t="b">
        <v>1</v>
      </c>
      <c r="AI61" t="b">
        <v>1</v>
      </c>
      <c r="AJ61" t="s">
        <v>325</v>
      </c>
      <c r="AK61" t="s">
        <v>326</v>
      </c>
      <c r="AL61" t="s">
        <v>377</v>
      </c>
      <c r="AM61" t="s">
        <v>552</v>
      </c>
      <c r="AN61" t="s">
        <v>553</v>
      </c>
      <c r="AO61" t="s">
        <v>554</v>
      </c>
      <c r="AP61" t="s">
        <v>331</v>
      </c>
      <c r="AQ61" s="35">
        <v>34960</v>
      </c>
      <c r="AR61">
        <v>25</v>
      </c>
      <c r="AT61">
        <v>68.2</v>
      </c>
      <c r="AV61">
        <v>83.2</v>
      </c>
      <c r="AW61">
        <v>237.6</v>
      </c>
      <c r="AX61">
        <v>68.599999999999994</v>
      </c>
      <c r="AY61">
        <v>97.4</v>
      </c>
      <c r="AZ61">
        <v>147.6</v>
      </c>
      <c r="BD61" s="15">
        <v>4998</v>
      </c>
      <c r="BE61" s="15">
        <v>9000</v>
      </c>
      <c r="BG61" s="15">
        <v>3950</v>
      </c>
      <c r="BI61" t="s">
        <v>555</v>
      </c>
      <c r="BJ61" t="s">
        <v>556</v>
      </c>
      <c r="BK61" t="s">
        <v>555</v>
      </c>
      <c r="BL61" t="s">
        <v>556</v>
      </c>
      <c r="BO61" s="37">
        <v>15</v>
      </c>
      <c r="BP61" t="s">
        <v>566</v>
      </c>
      <c r="BR61" t="s">
        <v>360</v>
      </c>
      <c r="BS61" t="s">
        <v>336</v>
      </c>
      <c r="BT61">
        <v>3.8</v>
      </c>
      <c r="BU61" t="s">
        <v>337</v>
      </c>
      <c r="BV61">
        <v>10.5</v>
      </c>
      <c r="BW61">
        <v>6</v>
      </c>
      <c r="BX61">
        <v>3.7</v>
      </c>
      <c r="BY61" t="s">
        <v>398</v>
      </c>
      <c r="BZ61">
        <v>87</v>
      </c>
      <c r="CA61">
        <v>275</v>
      </c>
      <c r="CB61">
        <v>260</v>
      </c>
      <c r="CC61">
        <v>6.5</v>
      </c>
      <c r="CD61">
        <v>6850</v>
      </c>
      <c r="CE61">
        <v>3.4</v>
      </c>
      <c r="CF61">
        <v>24</v>
      </c>
      <c r="CG61" t="s">
        <v>363</v>
      </c>
      <c r="CI61" t="s">
        <v>340</v>
      </c>
      <c r="CJ61">
        <v>6</v>
      </c>
      <c r="CK61">
        <v>277.7</v>
      </c>
      <c r="DH61" s="35">
        <v>0</v>
      </c>
      <c r="DO61" t="s">
        <v>558</v>
      </c>
    </row>
    <row r="62" spans="1:119" x14ac:dyDescent="0.45">
      <c r="A62" t="s">
        <v>124</v>
      </c>
      <c r="B62">
        <v>1328045</v>
      </c>
      <c r="C62" t="s">
        <v>513</v>
      </c>
      <c r="D62">
        <v>2020</v>
      </c>
      <c r="E62" t="s">
        <v>309</v>
      </c>
      <c r="F62" t="s">
        <v>545</v>
      </c>
      <c r="G62">
        <v>250</v>
      </c>
      <c r="H62" s="37" t="s">
        <v>618</v>
      </c>
      <c r="I62" t="s">
        <v>341</v>
      </c>
      <c r="J62" t="s">
        <v>547</v>
      </c>
      <c r="K62" t="s">
        <v>494</v>
      </c>
      <c r="L62" s="33">
        <v>44181.022916666669</v>
      </c>
      <c r="M62" s="15">
        <v>168474</v>
      </c>
      <c r="N62" t="s">
        <v>315</v>
      </c>
      <c r="O62" s="9">
        <v>44278</v>
      </c>
      <c r="S62" t="s">
        <v>538</v>
      </c>
      <c r="T62" t="s">
        <v>373</v>
      </c>
      <c r="U62" t="s">
        <v>619</v>
      </c>
      <c r="W62" t="s">
        <v>429</v>
      </c>
      <c r="X62" t="s">
        <v>321</v>
      </c>
      <c r="Y62" s="35">
        <v>0</v>
      </c>
      <c r="Z62" s="35">
        <v>1635.6</v>
      </c>
      <c r="AA62" s="35">
        <v>0</v>
      </c>
      <c r="AB62" s="35">
        <v>0.28000000000000003</v>
      </c>
      <c r="AC62" t="s">
        <v>620</v>
      </c>
      <c r="AD62">
        <v>0</v>
      </c>
      <c r="AE62" t="s">
        <v>323</v>
      </c>
      <c r="AG62" t="s">
        <v>324</v>
      </c>
      <c r="AH62" t="b">
        <v>1</v>
      </c>
      <c r="AI62" t="b">
        <v>1</v>
      </c>
      <c r="AM62" t="s">
        <v>552</v>
      </c>
      <c r="AN62" t="s">
        <v>553</v>
      </c>
      <c r="AO62" t="s">
        <v>554</v>
      </c>
      <c r="AP62" t="s">
        <v>331</v>
      </c>
      <c r="AQ62" s="35">
        <v>35460</v>
      </c>
      <c r="AR62">
        <v>25</v>
      </c>
      <c r="AT62">
        <v>68.2</v>
      </c>
      <c r="AV62">
        <v>82.2</v>
      </c>
      <c r="AW62">
        <v>219.9</v>
      </c>
      <c r="AX62">
        <v>68.599999999999994</v>
      </c>
      <c r="AY62">
        <v>97.4</v>
      </c>
      <c r="AZ62">
        <v>129.9</v>
      </c>
      <c r="BD62" s="15">
        <v>4985</v>
      </c>
      <c r="BE62" s="15">
        <v>9070</v>
      </c>
      <c r="BG62" s="15">
        <v>4030</v>
      </c>
      <c r="BI62" t="s">
        <v>621</v>
      </c>
      <c r="BJ62" t="s">
        <v>622</v>
      </c>
      <c r="BK62" t="s">
        <v>621</v>
      </c>
      <c r="BL62" t="s">
        <v>622</v>
      </c>
      <c r="BO62" s="37">
        <v>15</v>
      </c>
      <c r="BP62" t="s">
        <v>623</v>
      </c>
      <c r="BR62" t="s">
        <v>360</v>
      </c>
      <c r="BS62" t="s">
        <v>336</v>
      </c>
      <c r="BT62">
        <v>3.6</v>
      </c>
      <c r="BU62" t="s">
        <v>337</v>
      </c>
      <c r="BV62">
        <v>10</v>
      </c>
      <c r="BW62">
        <v>6</v>
      </c>
      <c r="BX62">
        <v>3.5</v>
      </c>
      <c r="BY62" t="s">
        <v>338</v>
      </c>
      <c r="BZ62">
        <v>87</v>
      </c>
      <c r="CA62">
        <v>275</v>
      </c>
      <c r="CB62">
        <v>262</v>
      </c>
      <c r="CC62">
        <v>0</v>
      </c>
      <c r="CD62">
        <v>0</v>
      </c>
      <c r="CE62">
        <v>3.4</v>
      </c>
      <c r="CF62">
        <v>24</v>
      </c>
      <c r="CG62" t="s">
        <v>385</v>
      </c>
      <c r="CI62" t="s">
        <v>340</v>
      </c>
      <c r="CJ62">
        <v>10</v>
      </c>
      <c r="CK62">
        <v>246.7</v>
      </c>
      <c r="DH62" s="35">
        <v>0</v>
      </c>
      <c r="DO62" t="s">
        <v>558</v>
      </c>
    </row>
    <row r="63" spans="1:119" x14ac:dyDescent="0.45">
      <c r="A63" t="s">
        <v>143</v>
      </c>
      <c r="B63">
        <v>1328046</v>
      </c>
      <c r="C63" t="s">
        <v>424</v>
      </c>
      <c r="D63">
        <v>2020</v>
      </c>
      <c r="E63" t="s">
        <v>309</v>
      </c>
      <c r="F63" t="s">
        <v>545</v>
      </c>
      <c r="G63">
        <v>250</v>
      </c>
      <c r="H63" s="37" t="s">
        <v>618</v>
      </c>
      <c r="J63" t="s">
        <v>547</v>
      </c>
      <c r="K63" t="s">
        <v>494</v>
      </c>
      <c r="L63" s="33">
        <v>44181.022916666669</v>
      </c>
      <c r="M63" s="15">
        <v>10715</v>
      </c>
      <c r="N63" t="s">
        <v>315</v>
      </c>
      <c r="O63" s="9">
        <v>44277</v>
      </c>
      <c r="S63" t="s">
        <v>316</v>
      </c>
      <c r="T63" t="s">
        <v>624</v>
      </c>
      <c r="U63" t="s">
        <v>625</v>
      </c>
      <c r="X63" t="s">
        <v>321</v>
      </c>
      <c r="Y63" s="35">
        <v>350</v>
      </c>
      <c r="Z63" s="35">
        <v>1037.48</v>
      </c>
      <c r="AA63" s="35">
        <v>0</v>
      </c>
      <c r="AB63" s="35">
        <v>0.12</v>
      </c>
      <c r="AC63" t="s">
        <v>626</v>
      </c>
      <c r="AD63">
        <v>0</v>
      </c>
      <c r="AE63" t="s">
        <v>323</v>
      </c>
      <c r="AG63" t="s">
        <v>324</v>
      </c>
      <c r="AH63" t="b">
        <v>1</v>
      </c>
      <c r="AI63" t="b">
        <v>1</v>
      </c>
      <c r="AM63" t="s">
        <v>552</v>
      </c>
      <c r="AN63" t="s">
        <v>553</v>
      </c>
      <c r="AO63" t="s">
        <v>554</v>
      </c>
      <c r="AP63" t="s">
        <v>331</v>
      </c>
      <c r="AQ63" s="35">
        <v>35460</v>
      </c>
      <c r="AR63">
        <v>25</v>
      </c>
      <c r="AT63">
        <v>68.2</v>
      </c>
      <c r="AV63">
        <v>82.2</v>
      </c>
      <c r="AW63">
        <v>219.9</v>
      </c>
      <c r="AX63">
        <v>68.599999999999994</v>
      </c>
      <c r="AY63">
        <v>97.4</v>
      </c>
      <c r="AZ63">
        <v>129.9</v>
      </c>
      <c r="BD63" s="15">
        <v>4985</v>
      </c>
      <c r="BE63" s="15">
        <v>9070</v>
      </c>
      <c r="BG63" s="15">
        <v>4030</v>
      </c>
      <c r="BI63" t="s">
        <v>621</v>
      </c>
      <c r="BJ63" t="s">
        <v>622</v>
      </c>
      <c r="BK63" t="s">
        <v>621</v>
      </c>
      <c r="BL63" t="s">
        <v>622</v>
      </c>
      <c r="BO63" s="37">
        <v>15</v>
      </c>
      <c r="BP63" t="s">
        <v>623</v>
      </c>
      <c r="BR63" t="s">
        <v>360</v>
      </c>
      <c r="BS63" t="s">
        <v>336</v>
      </c>
      <c r="BT63">
        <v>3.6</v>
      </c>
      <c r="BU63" t="s">
        <v>337</v>
      </c>
      <c r="BV63">
        <v>10</v>
      </c>
      <c r="BW63">
        <v>6</v>
      </c>
      <c r="BX63">
        <v>3.5</v>
      </c>
      <c r="BY63" t="s">
        <v>338</v>
      </c>
      <c r="BZ63">
        <v>87</v>
      </c>
      <c r="CA63">
        <v>275</v>
      </c>
      <c r="CB63">
        <v>262</v>
      </c>
      <c r="CC63">
        <v>0</v>
      </c>
      <c r="CD63">
        <v>0</v>
      </c>
      <c r="CE63">
        <v>3.4</v>
      </c>
      <c r="CF63">
        <v>24</v>
      </c>
      <c r="CG63" t="s">
        <v>385</v>
      </c>
      <c r="CI63" t="s">
        <v>340</v>
      </c>
      <c r="CJ63">
        <v>10</v>
      </c>
      <c r="CK63">
        <v>246.7</v>
      </c>
      <c r="DH63" s="35">
        <v>0</v>
      </c>
      <c r="DO63" t="s">
        <v>558</v>
      </c>
    </row>
    <row r="64" spans="1:119" x14ac:dyDescent="0.45">
      <c r="A64" t="s">
        <v>144</v>
      </c>
      <c r="B64">
        <v>1328047</v>
      </c>
      <c r="C64" t="s">
        <v>424</v>
      </c>
      <c r="D64">
        <v>2020</v>
      </c>
      <c r="E64" t="s">
        <v>309</v>
      </c>
      <c r="F64" t="s">
        <v>545</v>
      </c>
      <c r="G64">
        <v>250</v>
      </c>
      <c r="H64" s="37" t="s">
        <v>618</v>
      </c>
      <c r="J64" t="s">
        <v>547</v>
      </c>
      <c r="K64" t="s">
        <v>494</v>
      </c>
      <c r="L64" s="33">
        <v>44181.022916666669</v>
      </c>
      <c r="M64" s="15">
        <v>9603</v>
      </c>
      <c r="N64" t="s">
        <v>315</v>
      </c>
      <c r="O64" s="9">
        <v>44278</v>
      </c>
      <c r="S64" t="s">
        <v>316</v>
      </c>
      <c r="T64" t="s">
        <v>627</v>
      </c>
      <c r="U64" t="s">
        <v>628</v>
      </c>
      <c r="X64" t="s">
        <v>321</v>
      </c>
      <c r="Y64" s="35">
        <v>89.13</v>
      </c>
      <c r="Z64" s="35">
        <v>1105.22</v>
      </c>
      <c r="AA64" s="35">
        <v>0</v>
      </c>
      <c r="AB64" s="35">
        <v>0.21</v>
      </c>
      <c r="AC64" t="s">
        <v>629</v>
      </c>
      <c r="AD64">
        <v>0</v>
      </c>
      <c r="AE64" t="s">
        <v>323</v>
      </c>
      <c r="AG64" t="s">
        <v>324</v>
      </c>
      <c r="AH64" t="b">
        <v>1</v>
      </c>
      <c r="AI64" t="b">
        <v>1</v>
      </c>
      <c r="AM64" t="s">
        <v>552</v>
      </c>
      <c r="AN64" t="s">
        <v>553</v>
      </c>
      <c r="AO64" t="s">
        <v>554</v>
      </c>
      <c r="AP64" t="s">
        <v>331</v>
      </c>
      <c r="AQ64" s="35">
        <v>35460</v>
      </c>
      <c r="AR64">
        <v>25</v>
      </c>
      <c r="AT64">
        <v>68.2</v>
      </c>
      <c r="AV64">
        <v>82.2</v>
      </c>
      <c r="AW64">
        <v>219.9</v>
      </c>
      <c r="AX64">
        <v>68.599999999999994</v>
      </c>
      <c r="AY64">
        <v>97.4</v>
      </c>
      <c r="AZ64">
        <v>129.9</v>
      </c>
      <c r="BD64" s="15">
        <v>4985</v>
      </c>
      <c r="BE64" s="15">
        <v>9070</v>
      </c>
      <c r="BG64" s="15">
        <v>4030</v>
      </c>
      <c r="BI64" t="s">
        <v>621</v>
      </c>
      <c r="BJ64" t="s">
        <v>622</v>
      </c>
      <c r="BK64" t="s">
        <v>621</v>
      </c>
      <c r="BL64" t="s">
        <v>622</v>
      </c>
      <c r="BO64" s="37">
        <v>15</v>
      </c>
      <c r="BP64" t="s">
        <v>623</v>
      </c>
      <c r="BR64" t="s">
        <v>360</v>
      </c>
      <c r="BS64" t="s">
        <v>336</v>
      </c>
      <c r="BT64">
        <v>3.6</v>
      </c>
      <c r="BU64" t="s">
        <v>337</v>
      </c>
      <c r="BV64">
        <v>10</v>
      </c>
      <c r="BW64">
        <v>6</v>
      </c>
      <c r="BX64">
        <v>3.5</v>
      </c>
      <c r="BY64" t="s">
        <v>338</v>
      </c>
      <c r="BZ64">
        <v>87</v>
      </c>
      <c r="CA64">
        <v>275</v>
      </c>
      <c r="CB64">
        <v>262</v>
      </c>
      <c r="CC64">
        <v>0</v>
      </c>
      <c r="CD64">
        <v>0</v>
      </c>
      <c r="CE64">
        <v>3.4</v>
      </c>
      <c r="CF64">
        <v>24</v>
      </c>
      <c r="CG64" t="s">
        <v>385</v>
      </c>
      <c r="CI64" t="s">
        <v>340</v>
      </c>
      <c r="CJ64">
        <v>10</v>
      </c>
      <c r="CK64">
        <v>246.7</v>
      </c>
      <c r="DH64" s="35">
        <v>0</v>
      </c>
      <c r="DO64" t="s">
        <v>558</v>
      </c>
    </row>
    <row r="65" spans="1:119" x14ac:dyDescent="0.45">
      <c r="A65" t="s">
        <v>630</v>
      </c>
      <c r="B65">
        <v>1328050</v>
      </c>
      <c r="C65" t="s">
        <v>424</v>
      </c>
      <c r="D65">
        <v>2020</v>
      </c>
      <c r="E65" t="s">
        <v>309</v>
      </c>
      <c r="F65" t="s">
        <v>631</v>
      </c>
      <c r="H65" s="37" t="s">
        <v>632</v>
      </c>
      <c r="J65" t="s">
        <v>547</v>
      </c>
      <c r="L65" s="33">
        <v>44181.022916666669</v>
      </c>
      <c r="M65">
        <v>0</v>
      </c>
      <c r="N65" t="s">
        <v>315</v>
      </c>
      <c r="S65" t="s">
        <v>487</v>
      </c>
      <c r="T65" t="s">
        <v>373</v>
      </c>
      <c r="W65" t="s">
        <v>429</v>
      </c>
      <c r="X65" t="s">
        <v>321</v>
      </c>
      <c r="Y65" s="35">
        <v>0</v>
      </c>
      <c r="Z65" s="35">
        <v>0</v>
      </c>
      <c r="AA65" s="35">
        <v>0</v>
      </c>
      <c r="AB65" s="35">
        <v>0</v>
      </c>
      <c r="AE65" t="s">
        <v>323</v>
      </c>
      <c r="AG65" t="s">
        <v>324</v>
      </c>
      <c r="AH65" t="b">
        <v>1</v>
      </c>
      <c r="AI65" t="b">
        <v>1</v>
      </c>
      <c r="AJ65" t="s">
        <v>325</v>
      </c>
      <c r="AK65" t="s">
        <v>326</v>
      </c>
      <c r="AL65" t="s">
        <v>377</v>
      </c>
      <c r="BO65" s="37">
        <v>15</v>
      </c>
      <c r="DH65" s="35">
        <v>0</v>
      </c>
      <c r="DO65" t="s">
        <v>558</v>
      </c>
    </row>
    <row r="66" spans="1:119" x14ac:dyDescent="0.45">
      <c r="A66" t="s">
        <v>633</v>
      </c>
      <c r="B66">
        <v>1328051</v>
      </c>
      <c r="C66" t="s">
        <v>81</v>
      </c>
      <c r="H66" s="37" t="s">
        <v>634</v>
      </c>
      <c r="J66" t="s">
        <v>547</v>
      </c>
      <c r="L66" s="33">
        <v>44181.022916666669</v>
      </c>
      <c r="M66">
        <v>0</v>
      </c>
      <c r="N66" t="s">
        <v>315</v>
      </c>
      <c r="S66" t="s">
        <v>487</v>
      </c>
      <c r="T66" t="s">
        <v>373</v>
      </c>
      <c r="X66" t="s">
        <v>321</v>
      </c>
      <c r="Y66" s="35">
        <v>0</v>
      </c>
      <c r="Z66" s="35">
        <v>0</v>
      </c>
      <c r="AA66" s="35">
        <v>0</v>
      </c>
      <c r="AB66" s="35">
        <v>0</v>
      </c>
      <c r="AE66" t="s">
        <v>323</v>
      </c>
      <c r="AG66" t="s">
        <v>324</v>
      </c>
      <c r="AH66" t="b">
        <v>1</v>
      </c>
      <c r="AI66" t="b">
        <v>1</v>
      </c>
      <c r="DH66" s="35">
        <v>0</v>
      </c>
    </row>
    <row r="67" spans="1:119" s="47" customFormat="1" x14ac:dyDescent="0.45">
      <c r="A67" s="47" t="s">
        <v>113</v>
      </c>
      <c r="H67" s="47" t="s">
        <v>45</v>
      </c>
      <c r="L67" s="48"/>
      <c r="M67" s="49"/>
      <c r="O67" s="50"/>
      <c r="Y67" s="51"/>
      <c r="Z67" s="51"/>
      <c r="AA67" s="51"/>
      <c r="AB67" s="51"/>
      <c r="AQ67" s="51"/>
      <c r="BD67" s="49"/>
      <c r="BE67" s="49"/>
      <c r="BG67" s="49"/>
      <c r="BO67" s="47">
        <v>15</v>
      </c>
      <c r="DH67" s="51"/>
    </row>
  </sheetData>
  <hyperlinks>
    <hyperlink ref="DO30" r:id="rId1" xr:uid="{D9139838-CCB8-46D7-8235-D73CF4F04EFF}"/>
    <hyperlink ref="DO42" r:id="rId2" xr:uid="{B8A3BACB-F0B0-4041-BFF7-0705170C69FF}"/>
    <hyperlink ref="DO43" r:id="rId3" xr:uid="{85C78504-B64E-4D44-B4C7-BE6C57C4BE58}"/>
  </hyperlinks>
  <pageMargins left="0.7" right="0.7" top="0.75" bottom="0.75" header="0.3" footer="0.3"/>
  <legacyDrawing r:id="rId4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M55"/>
  <sheetViews>
    <sheetView workbookViewId="0">
      <selection activeCell="B26" sqref="B26"/>
    </sheetView>
  </sheetViews>
  <sheetFormatPr defaultRowHeight="14.25" x14ac:dyDescent="0.45"/>
  <cols>
    <col min="1" max="1" width="13.86328125" customWidth="1"/>
    <col min="4" max="4" width="17.59765625" customWidth="1"/>
    <col min="5" max="5" width="13.59765625" bestFit="1" customWidth="1"/>
  </cols>
  <sheetData>
    <row r="1" spans="1:13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3" ht="42.75" x14ac:dyDescent="0.45">
      <c r="A2" s="43" t="s">
        <v>635</v>
      </c>
      <c r="B2" s="43" t="s">
        <v>636</v>
      </c>
      <c r="C2" s="43" t="s">
        <v>637</v>
      </c>
      <c r="D2" s="43" t="s">
        <v>638</v>
      </c>
      <c r="E2" s="43" t="s">
        <v>639</v>
      </c>
      <c r="F2" s="43" t="s">
        <v>640</v>
      </c>
      <c r="G2" s="20" t="s">
        <v>641</v>
      </c>
      <c r="H2" s="20" t="s">
        <v>642</v>
      </c>
      <c r="I2" s="20" t="s">
        <v>643</v>
      </c>
      <c r="J2" s="20" t="s">
        <v>644</v>
      </c>
      <c r="K2" s="20" t="s">
        <v>98</v>
      </c>
      <c r="L2" s="20" t="s">
        <v>645</v>
      </c>
      <c r="M2" s="43" t="s">
        <v>157</v>
      </c>
    </row>
    <row r="3" spans="1:13" x14ac:dyDescent="0.45">
      <c r="A3" t="s">
        <v>99</v>
      </c>
      <c r="B3">
        <v>30240</v>
      </c>
      <c r="C3">
        <v>7000</v>
      </c>
      <c r="D3">
        <v>9493</v>
      </c>
      <c r="E3">
        <f>SUM(upfront[[#This Row],[msrp]:[lifetime_insurance]])</f>
        <v>46733</v>
      </c>
      <c r="F3" t="s">
        <v>80</v>
      </c>
      <c r="G3">
        <f>VLOOKUP(upfront[[#This Row],[vehicle_name]],vehicle_data[],24,FALSE)</f>
        <v>5</v>
      </c>
      <c r="H3">
        <f>_xlfn.MAXIFS(vehicle_data[Year],vehicle_data[Vehicle],upfront[[#This Row],[vehicle_name]])</f>
        <v>7</v>
      </c>
      <c r="I3">
        <f>_xlfn.MINIFS(vehicle_data[Odometer start], vehicle_data[Vehicle], upfront[[#This Row],[vehicle_name]])</f>
        <v>0</v>
      </c>
      <c r="J3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145526.5</v>
      </c>
      <c r="K3">
        <f>IFERROR(upfront[[#This Row],[Mileage at useful life]]-upfront[[#This Row],[Mileage start]],"N/A")</f>
        <v>145526.5</v>
      </c>
      <c r="L3" t="str">
        <f>IF(ISERROR(VLOOKUP(upfront[[#This Row],[vehicle_name]],'summary-by-location'!A:A,1,FALSE)),"NO","YES")</f>
        <v>YES</v>
      </c>
      <c r="M3">
        <f>VLOOKUP(A3,Sheet1!$A$2:$B$63,2,FALSE)</f>
        <v>12740</v>
      </c>
    </row>
    <row r="4" spans="1:13" x14ac:dyDescent="0.45">
      <c r="A4" t="s">
        <v>100</v>
      </c>
      <c r="B4">
        <v>30240</v>
      </c>
      <c r="C4">
        <v>7000</v>
      </c>
      <c r="D4">
        <v>8136</v>
      </c>
      <c r="E4">
        <f>SUM(upfront[[#This Row],[msrp]:[lifetime_insurance]])</f>
        <v>45376</v>
      </c>
      <c r="F4" t="s">
        <v>80</v>
      </c>
      <c r="G4">
        <f>VLOOKUP(upfront[[#This Row],[vehicle_name]],vehicle_data[],24,FALSE)</f>
        <v>4</v>
      </c>
      <c r="H4">
        <f>_xlfn.MAXIFS(vehicle_data[Year],vehicle_data[Vehicle],upfront[[#This Row],[vehicle_name]])</f>
        <v>7</v>
      </c>
      <c r="I4">
        <f>_xlfn.MINIFS(vehicle_data[Odometer start], vehicle_data[Vehicle], upfront[[#This Row],[vehicle_name]])</f>
        <v>0</v>
      </c>
      <c r="J4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129066</v>
      </c>
      <c r="K4">
        <f>IFERROR(upfront[[#This Row],[Mileage at useful life]]-upfront[[#This Row],[Mileage start]],"N/A")</f>
        <v>129066</v>
      </c>
      <c r="L4" t="str">
        <f>IF(ISERROR(VLOOKUP(upfront[[#This Row],[vehicle_name]],'summary-by-location'!A:A,1,FALSE)),"NO","YES")</f>
        <v>YES</v>
      </c>
      <c r="M4" s="14">
        <v>10000</v>
      </c>
    </row>
    <row r="5" spans="1:13" x14ac:dyDescent="0.45">
      <c r="A5" t="s">
        <v>101</v>
      </c>
      <c r="B5">
        <v>21625</v>
      </c>
      <c r="C5">
        <v>7000</v>
      </c>
      <c r="D5">
        <v>13560</v>
      </c>
      <c r="E5">
        <f>SUM(upfront[[#This Row],[msrp]:[lifetime_insurance]])</f>
        <v>42185</v>
      </c>
      <c r="F5" t="s">
        <v>80</v>
      </c>
      <c r="G5">
        <f>VLOOKUP(upfront[[#This Row],[vehicle_name]],vehicle_data[],24,FALSE)</f>
        <v>4</v>
      </c>
      <c r="H5">
        <f>_xlfn.MAXIFS(vehicle_data[Year],vehicle_data[Vehicle],upfront[[#This Row],[vehicle_name]])</f>
        <v>8</v>
      </c>
      <c r="I5">
        <f>_xlfn.MINIFS(vehicle_data[Odometer start], vehicle_data[Vehicle], upfront[[#This Row],[vehicle_name]])</f>
        <v>0</v>
      </c>
      <c r="J5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94343</v>
      </c>
      <c r="K5">
        <f>IFERROR(upfront[[#This Row],[Mileage at useful life]]-upfront[[#This Row],[Mileage start]],"N/A")</f>
        <v>94343</v>
      </c>
      <c r="L5" t="str">
        <f>IF(ISERROR(VLOOKUP(upfront[[#This Row],[vehicle_name]],'summary-by-location'!A:A,1,FALSE)),"NO","YES")</f>
        <v>YES</v>
      </c>
      <c r="M5">
        <f>VLOOKUP(A5,Sheet1!$A$2:$B$63,2,FALSE)</f>
        <v>9120</v>
      </c>
    </row>
    <row r="6" spans="1:13" x14ac:dyDescent="0.45">
      <c r="A6" t="s">
        <v>102</v>
      </c>
      <c r="B6">
        <v>30240</v>
      </c>
      <c r="C6">
        <v>7000</v>
      </c>
      <c r="D6">
        <v>9492</v>
      </c>
      <c r="E6">
        <f>SUM(upfront[[#This Row],[msrp]:[lifetime_insurance]])</f>
        <v>46732</v>
      </c>
      <c r="F6" t="s">
        <v>80</v>
      </c>
      <c r="G6">
        <f>VLOOKUP(upfront[[#This Row],[vehicle_name]],vehicle_data[],24,FALSE)</f>
        <v>5</v>
      </c>
      <c r="H6">
        <f>_xlfn.MAXIFS(vehicle_data[Year],vehicle_data[Vehicle],upfront[[#This Row],[vehicle_name]])</f>
        <v>6</v>
      </c>
      <c r="I6">
        <f>_xlfn.MINIFS(vehicle_data[Odometer start], vehicle_data[Vehicle], upfront[[#This Row],[vehicle_name]])</f>
        <v>0</v>
      </c>
      <c r="J6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108417</v>
      </c>
      <c r="K6">
        <f>IFERROR(upfront[[#This Row],[Mileage at useful life]]-upfront[[#This Row],[Mileage start]],"N/A")</f>
        <v>108417</v>
      </c>
      <c r="L6" t="str">
        <f>IF(ISERROR(VLOOKUP(upfront[[#This Row],[vehicle_name]],'summary-by-location'!A:A,1,FALSE)),"NO","YES")</f>
        <v>YES</v>
      </c>
      <c r="M6">
        <f>VLOOKUP(A6,Sheet1!$A$2:$B$63,2,FALSE)</f>
        <v>12120</v>
      </c>
    </row>
    <row r="7" spans="1:13" x14ac:dyDescent="0.45">
      <c r="A7" t="s">
        <v>103</v>
      </c>
      <c r="B7">
        <v>21625</v>
      </c>
      <c r="C7">
        <v>7000</v>
      </c>
      <c r="D7">
        <v>13560</v>
      </c>
      <c r="E7">
        <f>SUM(upfront[[#This Row],[msrp]:[lifetime_insurance]])</f>
        <v>42185</v>
      </c>
      <c r="F7" t="s">
        <v>80</v>
      </c>
      <c r="G7">
        <f>VLOOKUP(upfront[[#This Row],[vehicle_name]],vehicle_data[],24,FALSE)</f>
        <v>4</v>
      </c>
      <c r="H7">
        <f>_xlfn.MAXIFS(vehicle_data[Year],vehicle_data[Vehicle],upfront[[#This Row],[vehicle_name]])</f>
        <v>6</v>
      </c>
      <c r="I7">
        <f>_xlfn.MINIFS(vehicle_data[Odometer start], vehicle_data[Vehicle], upfront[[#This Row],[vehicle_name]])</f>
        <v>0</v>
      </c>
      <c r="J7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115418</v>
      </c>
      <c r="K7">
        <f>IFERROR(upfront[[#This Row],[Mileage at useful life]]-upfront[[#This Row],[Mileage start]],"N/A")</f>
        <v>115418</v>
      </c>
      <c r="L7" t="str">
        <f>IF(ISERROR(VLOOKUP(upfront[[#This Row],[vehicle_name]],'summary-by-location'!A:A,1,FALSE)),"NO","YES")</f>
        <v>YES</v>
      </c>
      <c r="M7">
        <f>VLOOKUP(A7,Sheet1!$A$2:$B$63,2,FALSE)</f>
        <v>10060</v>
      </c>
    </row>
    <row r="8" spans="1:13" x14ac:dyDescent="0.45">
      <c r="A8" t="s">
        <v>104</v>
      </c>
      <c r="B8">
        <v>30240</v>
      </c>
      <c r="C8">
        <v>7000</v>
      </c>
      <c r="D8">
        <v>9492</v>
      </c>
      <c r="E8">
        <f>SUM(upfront[[#This Row],[msrp]:[lifetime_insurance]])</f>
        <v>46732</v>
      </c>
      <c r="F8" t="s">
        <v>80</v>
      </c>
      <c r="G8">
        <f>VLOOKUP(upfront[[#This Row],[vehicle_name]],vehicle_data[],24,FALSE)</f>
        <v>5</v>
      </c>
      <c r="H8">
        <f>_xlfn.MAXIFS(vehicle_data[Year],vehicle_data[Vehicle],upfront[[#This Row],[vehicle_name]])</f>
        <v>6</v>
      </c>
      <c r="I8">
        <f>_xlfn.MINIFS(vehicle_data[Odometer start], vehicle_data[Vehicle], upfront[[#This Row],[vehicle_name]])</f>
        <v>0</v>
      </c>
      <c r="J8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134227</v>
      </c>
      <c r="K8">
        <f>IFERROR(upfront[[#This Row],[Mileage at useful life]]-upfront[[#This Row],[Mileage start]],"N/A")</f>
        <v>134227</v>
      </c>
      <c r="L8" t="str">
        <f>IF(ISERROR(VLOOKUP(upfront[[#This Row],[vehicle_name]],'summary-by-location'!A:A,1,FALSE)),"NO","YES")</f>
        <v>YES</v>
      </c>
      <c r="M8">
        <f>VLOOKUP(A8,Sheet1!$A$2:$B$63,2,FALSE)</f>
        <v>15650</v>
      </c>
    </row>
    <row r="9" spans="1:13" x14ac:dyDescent="0.45">
      <c r="A9" t="s">
        <v>105</v>
      </c>
      <c r="B9">
        <v>30240</v>
      </c>
      <c r="C9">
        <v>7000</v>
      </c>
      <c r="D9">
        <v>5424</v>
      </c>
      <c r="E9">
        <f>SUM(upfront[[#This Row],[msrp]:[lifetime_insurance]])</f>
        <v>42664</v>
      </c>
      <c r="F9" t="s">
        <v>80</v>
      </c>
      <c r="G9" t="str">
        <f>VLOOKUP(upfront[[#This Row],[vehicle_name]],vehicle_data[],24,FALSE)</f>
        <v>Useful</v>
      </c>
      <c r="H9">
        <f>_xlfn.MAXIFS(vehicle_data[Year],vehicle_data[Vehicle],upfront[[#This Row],[vehicle_name]])</f>
        <v>2</v>
      </c>
      <c r="I9">
        <f>_xlfn.MINIFS(vehicle_data[Odometer start], vehicle_data[Vehicle], upfront[[#This Row],[vehicle_name]])</f>
        <v>0</v>
      </c>
      <c r="J9" t="str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N/A</v>
      </c>
      <c r="K9" t="str">
        <f>IFERROR(upfront[[#This Row],[Mileage at useful life]]-upfront[[#This Row],[Mileage start]],"N/A")</f>
        <v>N/A</v>
      </c>
      <c r="L9" t="str">
        <f>IF(ISERROR(VLOOKUP(upfront[[#This Row],[vehicle_name]],'summary-by-location'!A:A,1,FALSE)),"NO","YES")</f>
        <v>YES</v>
      </c>
      <c r="M9">
        <f>VLOOKUP(A9,Sheet1!$A$2:$B$63,2,FALSE)</f>
        <v>29370</v>
      </c>
    </row>
    <row r="10" spans="1:13" x14ac:dyDescent="0.45">
      <c r="A10" t="s">
        <v>107</v>
      </c>
      <c r="B10" s="44">
        <v>37170</v>
      </c>
      <c r="C10" s="44">
        <v>6000</v>
      </c>
      <c r="D10" s="44">
        <v>2712</v>
      </c>
      <c r="E10">
        <f>SUM(upfront[[#This Row],[msrp]:[lifetime_insurance]])</f>
        <v>45882</v>
      </c>
      <c r="F10" t="s">
        <v>80</v>
      </c>
      <c r="G10" t="str">
        <f>VLOOKUP(upfront[[#This Row],[vehicle_name]],vehicle_data[],24,FALSE)</f>
        <v>Useful</v>
      </c>
      <c r="H10">
        <f>_xlfn.MAXIFS(vehicle_data[Year],vehicle_data[Vehicle],upfront[[#This Row],[vehicle_name]])</f>
        <v>1</v>
      </c>
      <c r="I10">
        <f>_xlfn.MINIFS(vehicle_data[Odometer start], vehicle_data[Vehicle], upfront[[#This Row],[vehicle_name]])</f>
        <v>0</v>
      </c>
      <c r="J10" t="str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N/A</v>
      </c>
      <c r="K10" t="str">
        <f>IFERROR(upfront[[#This Row],[Mileage at useful life]]-upfront[[#This Row],[Mileage start]],"N/A")</f>
        <v>N/A</v>
      </c>
      <c r="L10" t="str">
        <f>IF(ISERROR(VLOOKUP(upfront[[#This Row],[vehicle_name]],'summary-by-location'!A:A,1,FALSE)),"NO","YES")</f>
        <v>YES</v>
      </c>
      <c r="M10">
        <f>VLOOKUP(A10,Sheet1!$A$2:$B$63,2,FALSE)</f>
        <v>33190</v>
      </c>
    </row>
    <row r="11" spans="1:13" x14ac:dyDescent="0.45">
      <c r="A11" t="s">
        <v>106</v>
      </c>
      <c r="B11">
        <v>37170</v>
      </c>
      <c r="C11">
        <v>6000</v>
      </c>
      <c r="D11">
        <v>4068</v>
      </c>
      <c r="E11">
        <f>SUM(upfront[[#This Row],[msrp]:[lifetime_insurance]])</f>
        <v>47238</v>
      </c>
      <c r="F11" t="s">
        <v>80</v>
      </c>
      <c r="G11" t="str">
        <f>VLOOKUP(upfront[[#This Row],[vehicle_name]],vehicle_data[],24,FALSE)</f>
        <v>Useful</v>
      </c>
      <c r="H11">
        <f>_xlfn.MAXIFS(vehicle_data[Year],vehicle_data[Vehicle],upfront[[#This Row],[vehicle_name]])</f>
        <v>2</v>
      </c>
      <c r="I11">
        <f>_xlfn.MINIFS(vehicle_data[Odometer start], vehicle_data[Vehicle], upfront[[#This Row],[vehicle_name]])</f>
        <v>0</v>
      </c>
      <c r="J11" t="str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N/A</v>
      </c>
      <c r="K11" t="str">
        <f>IFERROR(upfront[[#This Row],[Mileage at useful life]]-upfront[[#This Row],[Mileage start]],"N/A")</f>
        <v>N/A</v>
      </c>
      <c r="L11" t="str">
        <f>IF(ISERROR(VLOOKUP(upfront[[#This Row],[vehicle_name]],'summary-by-location'!A:A,1,FALSE)),"NO","YES")</f>
        <v>YES</v>
      </c>
      <c r="M11">
        <f>VLOOKUP(A11,Sheet1!$A$2:$B$63,2,FALSE)</f>
        <v>29780</v>
      </c>
    </row>
    <row r="12" spans="1:13" x14ac:dyDescent="0.45">
      <c r="A12" t="s">
        <v>140</v>
      </c>
      <c r="B12">
        <v>34960</v>
      </c>
      <c r="C12">
        <v>6000</v>
      </c>
      <c r="D12">
        <v>2712</v>
      </c>
      <c r="E12">
        <f>SUM(upfront[[#This Row],[msrp]:[lifetime_insurance]])</f>
        <v>43672</v>
      </c>
      <c r="F12" t="s">
        <v>83</v>
      </c>
      <c r="G12" t="str">
        <f>VLOOKUP(upfront[[#This Row],[vehicle_name]],vehicle_data[],24,FALSE)</f>
        <v>Useful</v>
      </c>
      <c r="H12">
        <f>_xlfn.MAXIFS(vehicle_data[Year],vehicle_data[Vehicle],upfront[[#This Row],[vehicle_name]])</f>
        <v>2</v>
      </c>
      <c r="I12">
        <f>_xlfn.MINIFS(vehicle_data[Odometer start], vehicle_data[Vehicle], upfront[[#This Row],[vehicle_name]])</f>
        <v>0</v>
      </c>
      <c r="J12" t="str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N/A</v>
      </c>
      <c r="K12" t="str">
        <f>IFERROR(upfront[[#This Row],[Mileage at useful life]]-upfront[[#This Row],[Mileage start]],"N/A")</f>
        <v>N/A</v>
      </c>
      <c r="L12" t="str">
        <f>IF(ISERROR(VLOOKUP(upfront[[#This Row],[vehicle_name]],'summary-by-location'!A:A,1,FALSE)),"NO","YES")</f>
        <v>YES</v>
      </c>
      <c r="M12">
        <f>VLOOKUP(A12,Sheet1!$A$2:$B$63,2,FALSE)</f>
        <v>28310</v>
      </c>
    </row>
    <row r="13" spans="1:13" x14ac:dyDescent="0.45">
      <c r="A13" t="s">
        <v>142</v>
      </c>
      <c r="B13">
        <v>35115</v>
      </c>
      <c r="C13">
        <v>6000</v>
      </c>
      <c r="D13">
        <v>2712</v>
      </c>
      <c r="E13">
        <f>SUM(upfront[[#This Row],[msrp]:[lifetime_insurance]])</f>
        <v>43827</v>
      </c>
      <c r="F13" t="s">
        <v>83</v>
      </c>
      <c r="G13" t="str">
        <f>VLOOKUP(upfront[[#This Row],[vehicle_name]],vehicle_data[],24,FALSE)</f>
        <v>Useful</v>
      </c>
      <c r="H13">
        <f>_xlfn.MAXIFS(vehicle_data[Year],vehicle_data[Vehicle],upfront[[#This Row],[vehicle_name]])</f>
        <v>1</v>
      </c>
      <c r="I13">
        <f>_xlfn.MINIFS(vehicle_data[Odometer start], vehicle_data[Vehicle], upfront[[#This Row],[vehicle_name]])</f>
        <v>0</v>
      </c>
      <c r="J13" t="str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N/A</v>
      </c>
      <c r="K13" t="str">
        <f>IFERROR(upfront[[#This Row],[Mileage at useful life]]-upfront[[#This Row],[Mileage start]],"N/A")</f>
        <v>N/A</v>
      </c>
      <c r="L13" t="str">
        <f>IF(ISERROR(VLOOKUP(upfront[[#This Row],[vehicle_name]],'summary-by-location'!A:A,1,FALSE)),"NO","YES")</f>
        <v>YES</v>
      </c>
      <c r="M13">
        <f>VLOOKUP(A13,Sheet1!$A$2:$B$63,2,FALSE)</f>
        <v>28720</v>
      </c>
    </row>
    <row r="14" spans="1:13" x14ac:dyDescent="0.45">
      <c r="A14" t="s">
        <v>109</v>
      </c>
      <c r="B14">
        <v>31385</v>
      </c>
      <c r="C14">
        <v>7000</v>
      </c>
      <c r="D14">
        <v>12204</v>
      </c>
      <c r="E14">
        <f>SUM(upfront[[#This Row],[msrp]:[lifetime_insurance]])</f>
        <v>50589</v>
      </c>
      <c r="F14" t="s">
        <v>81</v>
      </c>
      <c r="G14">
        <f>VLOOKUP(upfront[[#This Row],[vehicle_name]],vehicle_data[],24,FALSE)</f>
        <v>3</v>
      </c>
      <c r="H14">
        <f>_xlfn.MAXIFS(vehicle_data[Year],vehicle_data[Vehicle],upfront[[#This Row],[vehicle_name]])</f>
        <v>6</v>
      </c>
      <c r="I14">
        <f>_xlfn.MINIFS(vehicle_data[Odometer start], vehicle_data[Vehicle], upfront[[#This Row],[vehicle_name]])</f>
        <v>0</v>
      </c>
      <c r="J14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131739</v>
      </c>
      <c r="K14">
        <f>IFERROR(upfront[[#This Row],[Mileage at useful life]]-upfront[[#This Row],[Mileage start]],"N/A")</f>
        <v>131739</v>
      </c>
      <c r="L14" t="str">
        <f>IF(ISERROR(VLOOKUP(upfront[[#This Row],[vehicle_name]],'summary-by-location'!A:A,1,FALSE)),"NO","YES")</f>
        <v>YES</v>
      </c>
      <c r="M14">
        <f>VLOOKUP(A14,Sheet1!$A$2:$B$63,2,FALSE)</f>
        <v>9360</v>
      </c>
    </row>
    <row r="15" spans="1:13" x14ac:dyDescent="0.45">
      <c r="A15" t="s">
        <v>111</v>
      </c>
      <c r="B15">
        <v>29359</v>
      </c>
      <c r="C15">
        <v>7000</v>
      </c>
      <c r="D15">
        <v>9492</v>
      </c>
      <c r="E15">
        <f>SUM(upfront[[#This Row],[msrp]:[lifetime_insurance]])</f>
        <v>45851</v>
      </c>
      <c r="F15" t="s">
        <v>81</v>
      </c>
      <c r="G15">
        <f>VLOOKUP(upfront[[#This Row],[vehicle_name]],vehicle_data[],24,FALSE)</f>
        <v>4</v>
      </c>
      <c r="H15">
        <f>_xlfn.MAXIFS(vehicle_data[Year],vehicle_data[Vehicle],upfront[[#This Row],[vehicle_name]])</f>
        <v>5</v>
      </c>
      <c r="I15">
        <f>_xlfn.MINIFS(vehicle_data[Odometer start], vehicle_data[Vehicle], upfront[[#This Row],[vehicle_name]])</f>
        <v>0</v>
      </c>
      <c r="J15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127000</v>
      </c>
      <c r="K15">
        <f>IFERROR(upfront[[#This Row],[Mileage at useful life]]-upfront[[#This Row],[Mileage start]],"N/A")</f>
        <v>127000</v>
      </c>
      <c r="L15" t="str">
        <f>IF(ISERROR(VLOOKUP(upfront[[#This Row],[vehicle_name]],'summary-by-location'!A:A,1,FALSE)),"NO","YES")</f>
        <v>YES</v>
      </c>
      <c r="M15">
        <f>VLOOKUP(A15,Sheet1!$A$2:$B$63,2,FALSE)</f>
        <v>12620</v>
      </c>
    </row>
    <row r="16" spans="1:13" x14ac:dyDescent="0.45">
      <c r="A16" t="s">
        <v>114</v>
      </c>
      <c r="B16">
        <v>35115</v>
      </c>
      <c r="C16">
        <v>6000</v>
      </c>
      <c r="D16">
        <v>2712</v>
      </c>
      <c r="E16">
        <f>SUM(upfront[[#This Row],[msrp]:[lifetime_insurance]])</f>
        <v>43827</v>
      </c>
      <c r="F16" t="s">
        <v>81</v>
      </c>
      <c r="G16" t="str">
        <f>VLOOKUP(upfront[[#This Row],[vehicle_name]],vehicle_data[],24,FALSE)</f>
        <v>Useful</v>
      </c>
      <c r="H16">
        <f>_xlfn.MAXIFS(vehicle_data[Year],vehicle_data[Vehicle],upfront[[#This Row],[vehicle_name]])</f>
        <v>1</v>
      </c>
      <c r="I16">
        <f>_xlfn.MINIFS(vehicle_data[Odometer start], vehicle_data[Vehicle], upfront[[#This Row],[vehicle_name]])</f>
        <v>0</v>
      </c>
      <c r="J16" t="str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N/A</v>
      </c>
      <c r="K16" t="str">
        <f>IFERROR(upfront[[#This Row],[Mileage at useful life]]-upfront[[#This Row],[Mileage start]],"N/A")</f>
        <v>N/A</v>
      </c>
      <c r="L16" t="str">
        <f>IF(ISERROR(VLOOKUP(upfront[[#This Row],[vehicle_name]],'summary-by-location'!A:A,1,FALSE)),"NO","YES")</f>
        <v>YES</v>
      </c>
      <c r="M16">
        <f>VLOOKUP(A16,Sheet1!$A$2:$B$63,2,FALSE)</f>
        <v>27690</v>
      </c>
    </row>
    <row r="17" spans="1:13" x14ac:dyDescent="0.45">
      <c r="A17" t="s">
        <v>108</v>
      </c>
      <c r="B17">
        <v>29395</v>
      </c>
      <c r="C17">
        <v>7000</v>
      </c>
      <c r="D17">
        <v>9492</v>
      </c>
      <c r="E17">
        <f>SUM(upfront[[#This Row],[msrp]:[lifetime_insurance]])</f>
        <v>45887</v>
      </c>
      <c r="F17" t="s">
        <v>81</v>
      </c>
      <c r="G17">
        <f>VLOOKUP(upfront[[#This Row],[vehicle_name]],vehicle_data[],24,FALSE)</f>
        <v>4</v>
      </c>
      <c r="H17">
        <f>_xlfn.MAXIFS(vehicle_data[Year],vehicle_data[Vehicle],upfront[[#This Row],[vehicle_name]])</f>
        <v>5</v>
      </c>
      <c r="I17">
        <f>_xlfn.MINIFS(vehicle_data[Odometer start], vehicle_data[Vehicle], upfront[[#This Row],[vehicle_name]])</f>
        <v>0</v>
      </c>
      <c r="J17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109675</v>
      </c>
      <c r="K17">
        <f>IFERROR(upfront[[#This Row],[Mileage at useful life]]-upfront[[#This Row],[Mileage start]],"N/A")</f>
        <v>109675</v>
      </c>
      <c r="L17" t="str">
        <f>IF(ISERROR(VLOOKUP(upfront[[#This Row],[vehicle_name]],'summary-by-location'!A:A,1,FALSE)),"NO","YES")</f>
        <v>YES</v>
      </c>
      <c r="M17">
        <f>VLOOKUP(A17,Sheet1!$A$2:$B$63,2,FALSE)</f>
        <v>11520</v>
      </c>
    </row>
    <row r="18" spans="1:13" x14ac:dyDescent="0.45">
      <c r="A18" t="s">
        <v>110</v>
      </c>
      <c r="B18">
        <v>29395</v>
      </c>
      <c r="C18">
        <v>7000</v>
      </c>
      <c r="D18">
        <v>9492</v>
      </c>
      <c r="E18">
        <f>SUM(upfront[[#This Row],[msrp]:[lifetime_insurance]])</f>
        <v>45887</v>
      </c>
      <c r="F18" t="s">
        <v>81</v>
      </c>
      <c r="G18">
        <f>VLOOKUP(upfront[[#This Row],[vehicle_name]],vehicle_data[],24,FALSE)</f>
        <v>5</v>
      </c>
      <c r="H18">
        <f>_xlfn.MAXIFS(vehicle_data[Year],vehicle_data[Vehicle],upfront[[#This Row],[vehicle_name]])</f>
        <v>5</v>
      </c>
      <c r="I18">
        <f>_xlfn.MINIFS(vehicle_data[Odometer start], vehicle_data[Vehicle], upfront[[#This Row],[vehicle_name]])</f>
        <v>0</v>
      </c>
      <c r="J18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120244</v>
      </c>
      <c r="K18">
        <f>IFERROR(upfront[[#This Row],[Mileage at useful life]]-upfront[[#This Row],[Mileage start]],"N/A")</f>
        <v>120244</v>
      </c>
      <c r="L18" t="str">
        <f>IF(ISERROR(VLOOKUP(upfront[[#This Row],[vehicle_name]],'summary-by-location'!A:A,1,FALSE)),"NO","YES")</f>
        <v>YES</v>
      </c>
      <c r="M18">
        <f>VLOOKUP(A18,Sheet1!$A$2:$B$63,2,FALSE)</f>
        <v>14460</v>
      </c>
    </row>
    <row r="19" spans="1:13" x14ac:dyDescent="0.45">
      <c r="A19" t="s">
        <v>112</v>
      </c>
      <c r="B19">
        <v>31385</v>
      </c>
      <c r="C19">
        <v>7000</v>
      </c>
      <c r="D19">
        <v>12204</v>
      </c>
      <c r="E19">
        <f>SUM(upfront[[#This Row],[msrp]:[lifetime_insurance]])</f>
        <v>50589</v>
      </c>
      <c r="F19" t="s">
        <v>81</v>
      </c>
      <c r="G19">
        <f>VLOOKUP(upfront[[#This Row],[vehicle_name]],vehicle_data[],24,FALSE)</f>
        <v>4</v>
      </c>
      <c r="H19">
        <f>_xlfn.MAXIFS(vehicle_data[Year],vehicle_data[Vehicle],upfront[[#This Row],[vehicle_name]])</f>
        <v>7</v>
      </c>
      <c r="I19">
        <f>_xlfn.MINIFS(vehicle_data[Odometer start], vehicle_data[Vehicle], upfront[[#This Row],[vehicle_name]])</f>
        <v>0</v>
      </c>
      <c r="J19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134991</v>
      </c>
      <c r="K19">
        <f>IFERROR(upfront[[#This Row],[Mileage at useful life]]-upfront[[#This Row],[Mileage start]],"N/A")</f>
        <v>134991</v>
      </c>
      <c r="L19" t="str">
        <f>IF(ISERROR(VLOOKUP(upfront[[#This Row],[vehicle_name]],'summary-by-location'!A:A,1,FALSE)),"NO","YES")</f>
        <v>YES</v>
      </c>
      <c r="M19" s="14">
        <v>10000</v>
      </c>
    </row>
    <row r="20" spans="1:13" x14ac:dyDescent="0.45">
      <c r="A20" t="s">
        <v>115</v>
      </c>
      <c r="B20">
        <v>35115</v>
      </c>
      <c r="C20">
        <v>6000</v>
      </c>
      <c r="D20">
        <v>2712</v>
      </c>
      <c r="E20">
        <f>SUM(upfront[[#This Row],[msrp]:[lifetime_insurance]])</f>
        <v>43827</v>
      </c>
      <c r="F20" t="s">
        <v>81</v>
      </c>
      <c r="G20" t="str">
        <f>VLOOKUP(upfront[[#This Row],[vehicle_name]],vehicle_data[],24,FALSE)</f>
        <v>Useful</v>
      </c>
      <c r="H20">
        <f>_xlfn.MAXIFS(vehicle_data[Year],vehicle_data[Vehicle],upfront[[#This Row],[vehicle_name]])</f>
        <v>1</v>
      </c>
      <c r="I20">
        <f>_xlfn.MINIFS(vehicle_data[Odometer start], vehicle_data[Vehicle], upfront[[#This Row],[vehicle_name]])</f>
        <v>0</v>
      </c>
      <c r="J20" t="str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N/A</v>
      </c>
      <c r="K20" t="str">
        <f>IFERROR(upfront[[#This Row],[Mileage at useful life]]-upfront[[#This Row],[Mileage start]],"N/A")</f>
        <v>N/A</v>
      </c>
      <c r="L20" t="str">
        <f>IF(ISERROR(VLOOKUP(upfront[[#This Row],[vehicle_name]],'summary-by-location'!A:A,1,FALSE)),"NO","YES")</f>
        <v>YES</v>
      </c>
      <c r="M20">
        <f>VLOOKUP(A20,Sheet1!$A$2:$B$63,2,FALSE)</f>
        <v>26350</v>
      </c>
    </row>
    <row r="21" spans="1:13" x14ac:dyDescent="0.45">
      <c r="A21" t="s">
        <v>116</v>
      </c>
      <c r="B21">
        <v>30240</v>
      </c>
      <c r="C21">
        <v>7000</v>
      </c>
      <c r="D21">
        <v>9492</v>
      </c>
      <c r="E21">
        <f>SUM(upfront[[#This Row],[msrp]:[lifetime_insurance]])</f>
        <v>46732</v>
      </c>
      <c r="F21" t="s">
        <v>82</v>
      </c>
      <c r="G21" t="str">
        <f>VLOOKUP(upfront[[#This Row],[vehicle_name]],vehicle_data[],24,FALSE)</f>
        <v>Useful</v>
      </c>
      <c r="H21">
        <f>_xlfn.MAXIFS(vehicle_data[Year],vehicle_data[Vehicle],upfront[[#This Row],[vehicle_name]])</f>
        <v>6</v>
      </c>
      <c r="I21">
        <f>_xlfn.MINIFS(vehicle_data[Odometer start], vehicle_data[Vehicle], upfront[[#This Row],[vehicle_name]])</f>
        <v>0</v>
      </c>
      <c r="J21" t="str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N/A</v>
      </c>
      <c r="K21" t="str">
        <f>IFERROR(upfront[[#This Row],[Mileage at useful life]]-upfront[[#This Row],[Mileage start]],"N/A")</f>
        <v>N/A</v>
      </c>
      <c r="L21" t="str">
        <f>IF(ISERROR(VLOOKUP(upfront[[#This Row],[vehicle_name]],'summary-by-location'!A:A,1,FALSE)),"NO","YES")</f>
        <v>YES</v>
      </c>
      <c r="M21">
        <f>VLOOKUP(A21,Sheet1!$A$2:$B$63,2,FALSE)</f>
        <v>17870</v>
      </c>
    </row>
    <row r="22" spans="1:13" x14ac:dyDescent="0.45">
      <c r="A22" t="s">
        <v>118</v>
      </c>
      <c r="B22">
        <v>28080</v>
      </c>
      <c r="C22">
        <v>7000</v>
      </c>
      <c r="D22">
        <v>10848</v>
      </c>
      <c r="E22">
        <f>SUM(upfront[[#This Row],[msrp]:[lifetime_insurance]])</f>
        <v>45928</v>
      </c>
      <c r="F22" t="s">
        <v>82</v>
      </c>
      <c r="G22">
        <f>VLOOKUP(upfront[[#This Row],[vehicle_name]],vehicle_data[],24,FALSE)</f>
        <v>4</v>
      </c>
      <c r="H22">
        <f>_xlfn.MAXIFS(vehicle_data[Year],vehicle_data[Vehicle],upfront[[#This Row],[vehicle_name]])</f>
        <v>5</v>
      </c>
      <c r="I22">
        <f>_xlfn.MINIFS(vehicle_data[Odometer start], vehicle_data[Vehicle], upfront[[#This Row],[vehicle_name]])</f>
        <v>0</v>
      </c>
      <c r="J22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120523</v>
      </c>
      <c r="K22">
        <f>IFERROR(upfront[[#This Row],[Mileage at useful life]]-upfront[[#This Row],[Mileage start]],"N/A")</f>
        <v>120523</v>
      </c>
      <c r="L22" t="str">
        <f>IF(ISERROR(VLOOKUP(upfront[[#This Row],[vehicle_name]],'summary-by-location'!A:A,1,FALSE)),"NO","YES")</f>
        <v>YES</v>
      </c>
      <c r="M22">
        <f>VLOOKUP(A22,Sheet1!$A$2:$B$63,2,FALSE)</f>
        <v>12600</v>
      </c>
    </row>
    <row r="23" spans="1:13" x14ac:dyDescent="0.45">
      <c r="A23" t="s">
        <v>120</v>
      </c>
      <c r="B23">
        <v>30240</v>
      </c>
      <c r="C23">
        <v>7000</v>
      </c>
      <c r="D23">
        <v>9492</v>
      </c>
      <c r="E23">
        <f>SUM(upfront[[#This Row],[msrp]:[lifetime_insurance]])</f>
        <v>46732</v>
      </c>
      <c r="F23" t="s">
        <v>82</v>
      </c>
      <c r="G23">
        <f>VLOOKUP(upfront[[#This Row],[vehicle_name]],vehicle_data[],24,FALSE)</f>
        <v>4</v>
      </c>
      <c r="H23">
        <f>_xlfn.MAXIFS(vehicle_data[Year],vehicle_data[Vehicle],upfront[[#This Row],[vehicle_name]])</f>
        <v>6</v>
      </c>
      <c r="I23">
        <f>_xlfn.MINIFS(vehicle_data[Odometer start], vehicle_data[Vehicle], upfront[[#This Row],[vehicle_name]])</f>
        <v>0</v>
      </c>
      <c r="J23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132492</v>
      </c>
      <c r="K23">
        <f>IFERROR(upfront[[#This Row],[Mileage at useful life]]-upfront[[#This Row],[Mileage start]],"N/A")</f>
        <v>132492</v>
      </c>
      <c r="L23" t="str">
        <f>IF(ISERROR(VLOOKUP(upfront[[#This Row],[vehicle_name]],'summary-by-location'!A:A,1,FALSE)),"NO","YES")</f>
        <v>YES</v>
      </c>
      <c r="M23">
        <f>VLOOKUP(A23,Sheet1!$A$2:$B$63,2,FALSE)</f>
        <v>11300</v>
      </c>
    </row>
    <row r="24" spans="1:13" x14ac:dyDescent="0.45">
      <c r="A24" t="s">
        <v>123</v>
      </c>
      <c r="B24">
        <v>34960</v>
      </c>
      <c r="C24">
        <v>6000</v>
      </c>
      <c r="D24">
        <v>2712</v>
      </c>
      <c r="E24">
        <f>SUM(upfront[[#This Row],[msrp]:[lifetime_insurance]])</f>
        <v>43672</v>
      </c>
      <c r="F24" t="s">
        <v>82</v>
      </c>
      <c r="G24" t="str">
        <f>VLOOKUP(upfront[[#This Row],[vehicle_name]],vehicle_data[],24,FALSE)</f>
        <v>Useful</v>
      </c>
      <c r="H24">
        <f>_xlfn.MAXIFS(vehicle_data[Year],vehicle_data[Vehicle],upfront[[#This Row],[vehicle_name]])</f>
        <v>2</v>
      </c>
      <c r="I24">
        <f>_xlfn.MINIFS(vehicle_data[Odometer start], vehicle_data[Vehicle], upfront[[#This Row],[vehicle_name]])</f>
        <v>0</v>
      </c>
      <c r="J24" t="str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N/A</v>
      </c>
      <c r="K24" t="str">
        <f>IFERROR(upfront[[#This Row],[Mileage at useful life]]-upfront[[#This Row],[Mileage start]],"N/A")</f>
        <v>N/A</v>
      </c>
      <c r="L24" t="str">
        <f>IF(ISERROR(VLOOKUP(upfront[[#This Row],[vehicle_name]],'summary-by-location'!A:A,1,FALSE)),"NO","YES")</f>
        <v>YES</v>
      </c>
      <c r="M24">
        <f>VLOOKUP(A24,Sheet1!$A$2:$B$63,2,FALSE)</f>
        <v>25750</v>
      </c>
    </row>
    <row r="25" spans="1:13" x14ac:dyDescent="0.45">
      <c r="A25" t="s">
        <v>117</v>
      </c>
      <c r="B25">
        <v>28080</v>
      </c>
      <c r="C25">
        <v>7000</v>
      </c>
      <c r="D25">
        <v>10848</v>
      </c>
      <c r="E25">
        <f>SUM(upfront[[#This Row],[msrp]:[lifetime_insurance]])</f>
        <v>45928</v>
      </c>
      <c r="F25" t="s">
        <v>82</v>
      </c>
      <c r="G25">
        <f>VLOOKUP(upfront[[#This Row],[vehicle_name]],vehicle_data[],24,FALSE)</f>
        <v>4</v>
      </c>
      <c r="H25">
        <f>_xlfn.MAXIFS(vehicle_data[Year],vehicle_data[Vehicle],upfront[[#This Row],[vehicle_name]])</f>
        <v>6</v>
      </c>
      <c r="I25">
        <f>_xlfn.MINIFS(vehicle_data[Odometer start], vehicle_data[Vehicle], upfront[[#This Row],[vehicle_name]])</f>
        <v>0</v>
      </c>
      <c r="J25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111972</v>
      </c>
      <c r="K25">
        <f>IFERROR(upfront[[#This Row],[Mileage at useful life]]-upfront[[#This Row],[Mileage start]],"N/A")</f>
        <v>111972</v>
      </c>
      <c r="L25" t="str">
        <f>IF(ISERROR(VLOOKUP(upfront[[#This Row],[vehicle_name]],'summary-by-location'!A:A,1,FALSE)),"NO","YES")</f>
        <v>YES</v>
      </c>
      <c r="M25">
        <f>VLOOKUP(A25,Sheet1!$A$2:$B$63,2,FALSE)</f>
        <v>11300</v>
      </c>
    </row>
    <row r="26" spans="1:13" x14ac:dyDescent="0.45">
      <c r="A26" t="s">
        <v>119</v>
      </c>
      <c r="B26">
        <v>28080</v>
      </c>
      <c r="C26">
        <v>7000</v>
      </c>
      <c r="D26">
        <v>10848</v>
      </c>
      <c r="E26">
        <f>SUM(upfront[[#This Row],[msrp]:[lifetime_insurance]])</f>
        <v>45928</v>
      </c>
      <c r="F26" t="s">
        <v>82</v>
      </c>
      <c r="G26">
        <f>VLOOKUP(upfront[[#This Row],[vehicle_name]],vehicle_data[],24,FALSE)</f>
        <v>4</v>
      </c>
      <c r="H26">
        <f>_xlfn.MAXIFS(vehicle_data[Year],vehicle_data[Vehicle],upfront[[#This Row],[vehicle_name]])</f>
        <v>6</v>
      </c>
      <c r="I26">
        <f>_xlfn.MINIFS(vehicle_data[Odometer start], vehicle_data[Vehicle], upfront[[#This Row],[vehicle_name]])</f>
        <v>0</v>
      </c>
      <c r="J26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138669</v>
      </c>
      <c r="K26">
        <f>IFERROR(upfront[[#This Row],[Mileage at useful life]]-upfront[[#This Row],[Mileage start]],"N/A")</f>
        <v>138669</v>
      </c>
      <c r="L26" t="str">
        <f>IF(ISERROR(VLOOKUP(upfront[[#This Row],[vehicle_name]],'summary-by-location'!A:A,1,FALSE)),"NO","YES")</f>
        <v>YES</v>
      </c>
      <c r="M26">
        <f>VLOOKUP(A26,Sheet1!$A$2:$B$63,2,FALSE)</f>
        <v>10500</v>
      </c>
    </row>
    <row r="27" spans="1:13" x14ac:dyDescent="0.45">
      <c r="A27" t="s">
        <v>121</v>
      </c>
      <c r="B27">
        <v>32445</v>
      </c>
      <c r="C27">
        <v>7000</v>
      </c>
      <c r="D27">
        <v>13560</v>
      </c>
      <c r="E27">
        <f>SUM(upfront[[#This Row],[msrp]:[lifetime_insurance]])</f>
        <v>53005</v>
      </c>
      <c r="F27" t="s">
        <v>82</v>
      </c>
      <c r="G27">
        <f>VLOOKUP(upfront[[#This Row],[vehicle_name]],vehicle_data[],24,FALSE)</f>
        <v>4</v>
      </c>
      <c r="H27">
        <f>_xlfn.MAXIFS(vehicle_data[Year],vehicle_data[Vehicle],upfront[[#This Row],[vehicle_name]])</f>
        <v>8</v>
      </c>
      <c r="I27">
        <f>_xlfn.MINIFS(vehicle_data[Odometer start], vehicle_data[Vehicle], upfront[[#This Row],[vehicle_name]])</f>
        <v>0</v>
      </c>
      <c r="J27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143958</v>
      </c>
      <c r="K27">
        <f>IFERROR(upfront[[#This Row],[Mileage at useful life]]-upfront[[#This Row],[Mileage start]],"N/A")</f>
        <v>143958</v>
      </c>
      <c r="L27" t="str">
        <f>IF(ISERROR(VLOOKUP(upfront[[#This Row],[vehicle_name]],'summary-by-location'!A:A,1,FALSE)),"NO","YES")</f>
        <v>YES</v>
      </c>
      <c r="M27">
        <f>VLOOKUP(A27,Sheet1!$A$2:$B$63,2,FALSE)</f>
        <v>11290</v>
      </c>
    </row>
    <row r="28" spans="1:13" x14ac:dyDescent="0.45">
      <c r="A28" t="s">
        <v>124</v>
      </c>
      <c r="B28">
        <v>35460</v>
      </c>
      <c r="C28">
        <v>6000</v>
      </c>
      <c r="D28">
        <v>2712</v>
      </c>
      <c r="E28">
        <f>SUM(upfront[[#This Row],[msrp]:[lifetime_insurance]])</f>
        <v>44172</v>
      </c>
      <c r="F28" t="s">
        <v>82</v>
      </c>
      <c r="G28" t="str">
        <f>VLOOKUP(upfront[[#This Row],[vehicle_name]],vehicle_data[],24,FALSE)</f>
        <v>Useful</v>
      </c>
      <c r="H28">
        <f>_xlfn.MAXIFS(vehicle_data[Year],vehicle_data[Vehicle],upfront[[#This Row],[vehicle_name]])</f>
        <v>1</v>
      </c>
      <c r="I28">
        <f>_xlfn.MINIFS(vehicle_data[Odometer start], vehicle_data[Vehicle], upfront[[#This Row],[vehicle_name]])</f>
        <v>0</v>
      </c>
      <c r="J28" t="str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N/A</v>
      </c>
      <c r="K28" t="str">
        <f>IFERROR(upfront[[#This Row],[Mileage at useful life]]-upfront[[#This Row],[Mileage start]],"N/A")</f>
        <v>N/A</v>
      </c>
      <c r="L28" t="str">
        <f>IF(ISERROR(VLOOKUP(upfront[[#This Row],[vehicle_name]],'summary-by-location'!A:A,1,FALSE)),"NO","YES")</f>
        <v>YES</v>
      </c>
      <c r="M28">
        <f>VLOOKUP(A28,Sheet1!$A$2:$B$63,2,FALSE)</f>
        <v>34760</v>
      </c>
    </row>
    <row r="29" spans="1:13" x14ac:dyDescent="0.45">
      <c r="A29" t="s">
        <v>125</v>
      </c>
      <c r="B29">
        <v>28080</v>
      </c>
      <c r="C29">
        <v>7000</v>
      </c>
      <c r="D29">
        <v>10848</v>
      </c>
      <c r="E29">
        <f>SUM(upfront[[#This Row],[msrp]:[lifetime_insurance]])</f>
        <v>45928</v>
      </c>
      <c r="F29" t="s">
        <v>83</v>
      </c>
      <c r="G29">
        <f>VLOOKUP(upfront[[#This Row],[vehicle_name]],vehicle_data[],24,FALSE)</f>
        <v>4</v>
      </c>
      <c r="H29">
        <f>_xlfn.MAXIFS(vehicle_data[Year],vehicle_data[Vehicle],upfront[[#This Row],[vehicle_name]])</f>
        <v>8</v>
      </c>
      <c r="I29">
        <f>_xlfn.MINIFS(vehicle_data[Odometer start], vehicle_data[Vehicle], upfront[[#This Row],[vehicle_name]])</f>
        <v>0</v>
      </c>
      <c r="J29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108742</v>
      </c>
      <c r="K29">
        <f>IFERROR(upfront[[#This Row],[Mileage at useful life]]-upfront[[#This Row],[Mileage start]],"N/A")</f>
        <v>108742</v>
      </c>
      <c r="L29" t="str">
        <f>IF(ISERROR(VLOOKUP(upfront[[#This Row],[vehicle_name]],'summary-by-location'!A:A,1,FALSE)),"NO","YES")</f>
        <v>YES</v>
      </c>
      <c r="M29">
        <f>VLOOKUP(A29,Sheet1!$A$2:$B$63,2,FALSE)</f>
        <v>9960</v>
      </c>
    </row>
    <row r="30" spans="1:13" x14ac:dyDescent="0.45">
      <c r="A30" t="s">
        <v>127</v>
      </c>
      <c r="B30">
        <v>28080</v>
      </c>
      <c r="C30">
        <v>7000</v>
      </c>
      <c r="D30">
        <v>10848</v>
      </c>
      <c r="E30">
        <f>SUM(upfront[[#This Row],[msrp]:[lifetime_insurance]])</f>
        <v>45928</v>
      </c>
      <c r="F30" t="s">
        <v>83</v>
      </c>
      <c r="G30">
        <f>VLOOKUP(upfront[[#This Row],[vehicle_name]],vehicle_data[],24,FALSE)</f>
        <v>5</v>
      </c>
      <c r="H30">
        <f>_xlfn.MAXIFS(vehicle_data[Year],vehicle_data[Vehicle],upfront[[#This Row],[vehicle_name]])</f>
        <v>7</v>
      </c>
      <c r="I30">
        <f>_xlfn.MINIFS(vehicle_data[Odometer start], vehicle_data[Vehicle], upfront[[#This Row],[vehicle_name]])</f>
        <v>0</v>
      </c>
      <c r="J30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128559</v>
      </c>
      <c r="K30">
        <f>IFERROR(upfront[[#This Row],[Mileage at useful life]]-upfront[[#This Row],[Mileage start]],"N/A")</f>
        <v>128559</v>
      </c>
      <c r="L30" t="str">
        <f>IF(ISERROR(VLOOKUP(upfront[[#This Row],[vehicle_name]],'summary-by-location'!A:A,1,FALSE)),"NO","YES")</f>
        <v>YES</v>
      </c>
      <c r="M30">
        <f>VLOOKUP(A30,Sheet1!$A$2:$B$63,2,FALSE)</f>
        <v>11200</v>
      </c>
    </row>
    <row r="31" spans="1:13" x14ac:dyDescent="0.45">
      <c r="A31" t="s">
        <v>129</v>
      </c>
      <c r="B31">
        <v>26915</v>
      </c>
      <c r="C31">
        <v>7000</v>
      </c>
      <c r="D31">
        <v>13560</v>
      </c>
      <c r="E31">
        <f>SUM(upfront[[#This Row],[msrp]:[lifetime_insurance]])</f>
        <v>47475</v>
      </c>
      <c r="F31" t="s">
        <v>83</v>
      </c>
      <c r="G31">
        <f>VLOOKUP(upfront[[#This Row],[vehicle_name]],vehicle_data[],24,FALSE)</f>
        <v>4</v>
      </c>
      <c r="H31">
        <f>_xlfn.MAXIFS(vehicle_data[Year],vehicle_data[Vehicle],upfront[[#This Row],[vehicle_name]])</f>
        <v>9</v>
      </c>
      <c r="I31">
        <f>_xlfn.MINIFS(vehicle_data[Odometer start], vehicle_data[Vehicle], upfront[[#This Row],[vehicle_name]])</f>
        <v>0</v>
      </c>
      <c r="J31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105000</v>
      </c>
      <c r="K31">
        <f>IFERROR(upfront[[#This Row],[Mileage at useful life]]-upfront[[#This Row],[Mileage start]],"N/A")</f>
        <v>105000</v>
      </c>
      <c r="L31" t="str">
        <f>IF(ISERROR(VLOOKUP(upfront[[#This Row],[vehicle_name]],'summary-by-location'!A:A,1,FALSE)),"NO","YES")</f>
        <v>YES</v>
      </c>
      <c r="M31" s="14">
        <v>10000</v>
      </c>
    </row>
    <row r="32" spans="1:13" x14ac:dyDescent="0.45">
      <c r="A32" t="s">
        <v>131</v>
      </c>
      <c r="B32">
        <v>32445</v>
      </c>
      <c r="C32">
        <v>7000</v>
      </c>
      <c r="D32">
        <v>13560</v>
      </c>
      <c r="E32">
        <f>SUM(upfront[[#This Row],[msrp]:[lifetime_insurance]])</f>
        <v>53005</v>
      </c>
      <c r="F32" t="s">
        <v>83</v>
      </c>
      <c r="G32">
        <f>VLOOKUP(upfront[[#This Row],[vehicle_name]],vehicle_data[],24,FALSE)</f>
        <v>4</v>
      </c>
      <c r="H32">
        <f>_xlfn.MAXIFS(vehicle_data[Year],vehicle_data[Vehicle],upfront[[#This Row],[vehicle_name]])</f>
        <v>10</v>
      </c>
      <c r="I32">
        <f>_xlfn.MINIFS(vehicle_data[Odometer start], vehicle_data[Vehicle], upfront[[#This Row],[vehicle_name]])</f>
        <v>0</v>
      </c>
      <c r="J32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113482</v>
      </c>
      <c r="K32">
        <f>IFERROR(upfront[[#This Row],[Mileage at useful life]]-upfront[[#This Row],[Mileage start]],"N/A")</f>
        <v>113482</v>
      </c>
      <c r="L32" t="str">
        <f>IF(ISERROR(VLOOKUP(upfront[[#This Row],[vehicle_name]],'summary-by-location'!A:A,1,FALSE)),"NO","YES")</f>
        <v>YES</v>
      </c>
      <c r="M32">
        <f>VLOOKUP(A32,Sheet1!$A$2:$B$63,2,FALSE)</f>
        <v>10450</v>
      </c>
    </row>
    <row r="33" spans="1:13" x14ac:dyDescent="0.45">
      <c r="A33" t="s">
        <v>133</v>
      </c>
      <c r="B33">
        <v>27420</v>
      </c>
      <c r="C33">
        <v>7000</v>
      </c>
      <c r="D33">
        <v>12204</v>
      </c>
      <c r="E33">
        <f>SUM(upfront[[#This Row],[msrp]:[lifetime_insurance]])</f>
        <v>46624</v>
      </c>
      <c r="F33" t="s">
        <v>83</v>
      </c>
      <c r="G33">
        <f>VLOOKUP(upfront[[#This Row],[vehicle_name]],vehicle_data[],24,FALSE)</f>
        <v>4</v>
      </c>
      <c r="H33">
        <f>_xlfn.MAXIFS(vehicle_data[Year],vehicle_data[Vehicle],upfront[[#This Row],[vehicle_name]])</f>
        <v>8</v>
      </c>
      <c r="I33">
        <f>_xlfn.MINIFS(vehicle_data[Odometer start], vehicle_data[Vehicle], upfront[[#This Row],[vehicle_name]])</f>
        <v>0</v>
      </c>
      <c r="J33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116239</v>
      </c>
      <c r="K33">
        <f>IFERROR(upfront[[#This Row],[Mileage at useful life]]-upfront[[#This Row],[Mileage start]],"N/A")</f>
        <v>116239</v>
      </c>
      <c r="L33" t="str">
        <f>IF(ISERROR(VLOOKUP(upfront[[#This Row],[vehicle_name]],'summary-by-location'!A:A,1,FALSE)),"NO","YES")</f>
        <v>YES</v>
      </c>
      <c r="M33">
        <f>VLOOKUP(A33,Sheet1!$A$2:$B$63,2,FALSE)</f>
        <v>9530</v>
      </c>
    </row>
    <row r="34" spans="1:13" x14ac:dyDescent="0.45">
      <c r="A34" t="s">
        <v>135</v>
      </c>
      <c r="B34">
        <v>30240</v>
      </c>
      <c r="C34">
        <v>7000</v>
      </c>
      <c r="D34">
        <v>9492</v>
      </c>
      <c r="E34">
        <f>SUM(upfront[[#This Row],[msrp]:[lifetime_insurance]])</f>
        <v>46732</v>
      </c>
      <c r="F34" t="s">
        <v>83</v>
      </c>
      <c r="G34">
        <f>VLOOKUP(upfront[[#This Row],[vehicle_name]],vehicle_data[],24,FALSE)</f>
        <v>5</v>
      </c>
      <c r="H34">
        <f>_xlfn.MAXIFS(vehicle_data[Year],vehicle_data[Vehicle],upfront[[#This Row],[vehicle_name]])</f>
        <v>7</v>
      </c>
      <c r="I34">
        <f>_xlfn.MINIFS(vehicle_data[Odometer start], vehicle_data[Vehicle], upfront[[#This Row],[vehicle_name]])</f>
        <v>0</v>
      </c>
      <c r="J34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97808</v>
      </c>
      <c r="K34">
        <f>IFERROR(upfront[[#This Row],[Mileage at useful life]]-upfront[[#This Row],[Mileage start]],"N/A")</f>
        <v>97808</v>
      </c>
      <c r="L34" t="str">
        <f>IF(ISERROR(VLOOKUP(upfront[[#This Row],[vehicle_name]],'summary-by-location'!A:A,1,FALSE)),"NO","YES")</f>
        <v>YES</v>
      </c>
      <c r="M34">
        <f>VLOOKUP(A34,Sheet1!$A$2:$B$63,2,FALSE)</f>
        <v>14260</v>
      </c>
    </row>
    <row r="35" spans="1:13" x14ac:dyDescent="0.45">
      <c r="A35" t="s">
        <v>137</v>
      </c>
      <c r="B35">
        <v>30240</v>
      </c>
      <c r="C35">
        <v>7000</v>
      </c>
      <c r="D35">
        <v>9492</v>
      </c>
      <c r="E35">
        <f>SUM(upfront[[#This Row],[msrp]:[lifetime_insurance]])</f>
        <v>46732</v>
      </c>
      <c r="F35" t="s">
        <v>83</v>
      </c>
      <c r="G35">
        <f>VLOOKUP(upfront[[#This Row],[vehicle_name]],vehicle_data[],24,FALSE)</f>
        <v>4</v>
      </c>
      <c r="H35">
        <f>_xlfn.MAXIFS(vehicle_data[Year],vehicle_data[Vehicle],upfront[[#This Row],[vehicle_name]])</f>
        <v>6</v>
      </c>
      <c r="I35">
        <f>_xlfn.MINIFS(vehicle_data[Odometer start], vehicle_data[Vehicle], upfront[[#This Row],[vehicle_name]])</f>
        <v>0</v>
      </c>
      <c r="J35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154863</v>
      </c>
      <c r="K35">
        <f>IFERROR(upfront[[#This Row],[Mileage at useful life]]-upfront[[#This Row],[Mileage start]],"N/A")</f>
        <v>154863</v>
      </c>
      <c r="L35" t="str">
        <f>IF(ISERROR(VLOOKUP(upfront[[#This Row],[vehicle_name]],'summary-by-location'!A:A,1,FALSE)),"NO","YES")</f>
        <v>YES</v>
      </c>
      <c r="M35">
        <f>VLOOKUP(A35,Sheet1!$A$2:$B$63,2,FALSE)</f>
        <v>11360</v>
      </c>
    </row>
    <row r="36" spans="1:13" x14ac:dyDescent="0.45">
      <c r="A36" t="s">
        <v>139</v>
      </c>
      <c r="B36">
        <v>34960</v>
      </c>
      <c r="C36">
        <v>6000</v>
      </c>
      <c r="D36">
        <v>2712</v>
      </c>
      <c r="E36">
        <f>SUM(upfront[[#This Row],[msrp]:[lifetime_insurance]])</f>
        <v>43672</v>
      </c>
      <c r="F36" t="s">
        <v>83</v>
      </c>
      <c r="G36" t="str">
        <f>VLOOKUP(upfront[[#This Row],[vehicle_name]],vehicle_data[],24,FALSE)</f>
        <v>Useful</v>
      </c>
      <c r="H36">
        <f>_xlfn.MAXIFS(vehicle_data[Year],vehicle_data[Vehicle],upfront[[#This Row],[vehicle_name]])</f>
        <v>1</v>
      </c>
      <c r="I36">
        <f>_xlfn.MINIFS(vehicle_data[Odometer start], vehicle_data[Vehicle], upfront[[#This Row],[vehicle_name]])</f>
        <v>0</v>
      </c>
      <c r="J36" t="str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N/A</v>
      </c>
      <c r="K36" t="str">
        <f>IFERROR(upfront[[#This Row],[Mileage at useful life]]-upfront[[#This Row],[Mileage start]],"N/A")</f>
        <v>N/A</v>
      </c>
      <c r="L36" t="str">
        <f>IF(ISERROR(VLOOKUP(upfront[[#This Row],[vehicle_name]],'summary-by-location'!A:A,1,FALSE)),"NO","YES")</f>
        <v>YES</v>
      </c>
      <c r="M36" s="14">
        <v>25000</v>
      </c>
    </row>
    <row r="37" spans="1:13" x14ac:dyDescent="0.45">
      <c r="A37" t="s">
        <v>126</v>
      </c>
      <c r="B37">
        <v>26915</v>
      </c>
      <c r="C37">
        <v>7000</v>
      </c>
      <c r="D37">
        <v>13560</v>
      </c>
      <c r="E37">
        <f>SUM(upfront[[#This Row],[msrp]:[lifetime_insurance]])</f>
        <v>47475</v>
      </c>
      <c r="F37" t="s">
        <v>83</v>
      </c>
      <c r="G37">
        <f>VLOOKUP(upfront[[#This Row],[vehicle_name]],vehicle_data[],24,FALSE)</f>
        <v>4</v>
      </c>
      <c r="H37">
        <f>_xlfn.MAXIFS(vehicle_data[Year],vehicle_data[Vehicle],upfront[[#This Row],[vehicle_name]])</f>
        <v>9</v>
      </c>
      <c r="I37">
        <f>_xlfn.MINIFS(vehicle_data[Odometer start], vehicle_data[Vehicle], upfront[[#This Row],[vehicle_name]])</f>
        <v>0</v>
      </c>
      <c r="J37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100000</v>
      </c>
      <c r="K37">
        <f>IFERROR(upfront[[#This Row],[Mileage at useful life]]-upfront[[#This Row],[Mileage start]],"N/A")</f>
        <v>100000</v>
      </c>
      <c r="L37" t="str">
        <f>IF(ISERROR(VLOOKUP(upfront[[#This Row],[vehicle_name]],'summary-by-location'!A:A,1,FALSE)),"NO","YES")</f>
        <v>YES</v>
      </c>
      <c r="M37">
        <f>VLOOKUP(A37,Sheet1!$A$2:$B$63,2,FALSE)</f>
        <v>9330</v>
      </c>
    </row>
    <row r="38" spans="1:13" x14ac:dyDescent="0.45">
      <c r="A38" t="s">
        <v>128</v>
      </c>
      <c r="B38">
        <v>32445</v>
      </c>
      <c r="C38">
        <v>7000</v>
      </c>
      <c r="D38">
        <v>13560</v>
      </c>
      <c r="E38">
        <f>SUM(upfront[[#This Row],[msrp]:[lifetime_insurance]])</f>
        <v>53005</v>
      </c>
      <c r="F38" t="s">
        <v>83</v>
      </c>
      <c r="G38">
        <f>VLOOKUP(upfront[[#This Row],[vehicle_name]],vehicle_data[],24,FALSE)</f>
        <v>4</v>
      </c>
      <c r="H38">
        <f>_xlfn.MAXIFS(vehicle_data[Year],vehicle_data[Vehicle],upfront[[#This Row],[vehicle_name]])</f>
        <v>9</v>
      </c>
      <c r="I38">
        <f>_xlfn.MINIFS(vehicle_data[Odometer start], vehicle_data[Vehicle], upfront[[#This Row],[vehicle_name]])</f>
        <v>0</v>
      </c>
      <c r="J38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103042</v>
      </c>
      <c r="K38">
        <f>IFERROR(upfront[[#This Row],[Mileage at useful life]]-upfront[[#This Row],[Mileage start]],"N/A")</f>
        <v>103042</v>
      </c>
      <c r="L38" t="str">
        <f>IF(ISERROR(VLOOKUP(upfront[[#This Row],[vehicle_name]],'summary-by-location'!A:A,1,FALSE)),"NO","YES")</f>
        <v>YES</v>
      </c>
      <c r="M38">
        <f>VLOOKUP(A38,Sheet1!$A$2:$B$63,2,FALSE)</f>
        <v>10980</v>
      </c>
    </row>
    <row r="39" spans="1:13" x14ac:dyDescent="0.45">
      <c r="A39" t="s">
        <v>130</v>
      </c>
      <c r="B39">
        <v>27820</v>
      </c>
      <c r="C39">
        <v>7000</v>
      </c>
      <c r="D39">
        <v>13560</v>
      </c>
      <c r="E39">
        <f>SUM(upfront[[#This Row],[msrp]:[lifetime_insurance]])</f>
        <v>48380</v>
      </c>
      <c r="F39" t="s">
        <v>83</v>
      </c>
      <c r="G39">
        <f>VLOOKUP(upfront[[#This Row],[vehicle_name]],vehicle_data[],24,FALSE)</f>
        <v>4</v>
      </c>
      <c r="H39">
        <f>_xlfn.MAXIFS(vehicle_data[Year],vehicle_data[Vehicle],upfront[[#This Row],[vehicle_name]])</f>
        <v>9</v>
      </c>
      <c r="I39">
        <f>_xlfn.MINIFS(vehicle_data[Odometer start], vehicle_data[Vehicle], upfront[[#This Row],[vehicle_name]])</f>
        <v>0</v>
      </c>
      <c r="J39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124459</v>
      </c>
      <c r="K39">
        <f>IFERROR(upfront[[#This Row],[Mileage at useful life]]-upfront[[#This Row],[Mileage start]],"N/A")</f>
        <v>124459</v>
      </c>
      <c r="L39" t="str">
        <f>IF(ISERROR(VLOOKUP(upfront[[#This Row],[vehicle_name]],'summary-by-location'!A:A,1,FALSE)),"NO","YES")</f>
        <v>YES</v>
      </c>
      <c r="M39" s="14">
        <v>10000</v>
      </c>
    </row>
    <row r="40" spans="1:13" x14ac:dyDescent="0.45">
      <c r="A40" t="s">
        <v>132</v>
      </c>
      <c r="B40">
        <v>27420</v>
      </c>
      <c r="C40">
        <v>7000</v>
      </c>
      <c r="D40">
        <v>12204</v>
      </c>
      <c r="E40">
        <f>SUM(upfront[[#This Row],[msrp]:[lifetime_insurance]])</f>
        <v>46624</v>
      </c>
      <c r="F40" t="s">
        <v>83</v>
      </c>
      <c r="G40">
        <f>VLOOKUP(upfront[[#This Row],[vehicle_name]],vehicle_data[],24,FALSE)</f>
        <v>4</v>
      </c>
      <c r="H40">
        <f>_xlfn.MAXIFS(vehicle_data[Year],vehicle_data[Vehicle],upfront[[#This Row],[vehicle_name]])</f>
        <v>8</v>
      </c>
      <c r="I40">
        <f>_xlfn.MINIFS(vehicle_data[Odometer start], vehicle_data[Vehicle], upfront[[#This Row],[vehicle_name]])</f>
        <v>0</v>
      </c>
      <c r="J40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142500</v>
      </c>
      <c r="K40">
        <f>IFERROR(upfront[[#This Row],[Mileage at useful life]]-upfront[[#This Row],[Mileage start]],"N/A")</f>
        <v>142500</v>
      </c>
      <c r="L40" t="str">
        <f>IF(ISERROR(VLOOKUP(upfront[[#This Row],[vehicle_name]],'summary-by-location'!A:A,1,FALSE)),"NO","YES")</f>
        <v>YES</v>
      </c>
      <c r="M40">
        <f>VLOOKUP(A40,Sheet1!$A$2:$B$63,2,FALSE)</f>
        <v>8570</v>
      </c>
    </row>
    <row r="41" spans="1:13" x14ac:dyDescent="0.45">
      <c r="A41" t="s">
        <v>134</v>
      </c>
      <c r="B41">
        <v>28080</v>
      </c>
      <c r="C41">
        <v>7000</v>
      </c>
      <c r="D41">
        <v>10848</v>
      </c>
      <c r="E41">
        <f>SUM(upfront[[#This Row],[msrp]:[lifetime_insurance]])</f>
        <v>45928</v>
      </c>
      <c r="F41" t="s">
        <v>83</v>
      </c>
      <c r="G41">
        <f>VLOOKUP(upfront[[#This Row],[vehicle_name]],vehicle_data[],24,FALSE)</f>
        <v>4</v>
      </c>
      <c r="H41">
        <f>_xlfn.MAXIFS(vehicle_data[Year],vehicle_data[Vehicle],upfront[[#This Row],[vehicle_name]])</f>
        <v>8</v>
      </c>
      <c r="I41">
        <f>_xlfn.MINIFS(vehicle_data[Odometer start], vehicle_data[Vehicle], upfront[[#This Row],[vehicle_name]])</f>
        <v>0</v>
      </c>
      <c r="J41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133438</v>
      </c>
      <c r="K41">
        <f>IFERROR(upfront[[#This Row],[Mileage at useful life]]-upfront[[#This Row],[Mileage start]],"N/A")</f>
        <v>133438</v>
      </c>
      <c r="L41" t="str">
        <f>IF(ISERROR(VLOOKUP(upfront[[#This Row],[vehicle_name]],'summary-by-location'!A:A,1,FALSE)),"NO","YES")</f>
        <v>YES</v>
      </c>
      <c r="M41">
        <f>VLOOKUP(A41,Sheet1!$A$2:$B$63,2,FALSE)</f>
        <v>9800</v>
      </c>
    </row>
    <row r="42" spans="1:13" x14ac:dyDescent="0.45">
      <c r="A42" t="s">
        <v>136</v>
      </c>
      <c r="B42">
        <v>30240</v>
      </c>
      <c r="C42">
        <v>7000</v>
      </c>
      <c r="D42">
        <v>9492</v>
      </c>
      <c r="E42">
        <f>SUM(upfront[[#This Row],[msrp]:[lifetime_insurance]])</f>
        <v>46732</v>
      </c>
      <c r="F42" t="s">
        <v>83</v>
      </c>
      <c r="G42">
        <f>VLOOKUP(upfront[[#This Row],[vehicle_name]],vehicle_data[],24,FALSE)</f>
        <v>4</v>
      </c>
      <c r="H42">
        <f>_xlfn.MAXIFS(vehicle_data[Year],vehicle_data[Vehicle],upfront[[#This Row],[vehicle_name]])</f>
        <v>6</v>
      </c>
      <c r="I42">
        <f>_xlfn.MINIFS(vehicle_data[Odometer start], vehicle_data[Vehicle], upfront[[#This Row],[vehicle_name]])</f>
        <v>0</v>
      </c>
      <c r="J42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130271</v>
      </c>
      <c r="K42">
        <f>IFERROR(upfront[[#This Row],[Mileage at useful life]]-upfront[[#This Row],[Mileage start]],"N/A")</f>
        <v>130271</v>
      </c>
      <c r="L42" t="str">
        <f>IF(ISERROR(VLOOKUP(upfront[[#This Row],[vehicle_name]],'summary-by-location'!A:A,1,FALSE)),"NO","YES")</f>
        <v>YES</v>
      </c>
      <c r="M42">
        <f>VLOOKUP(A42,Sheet1!$A$2:$B$63,2,FALSE)</f>
        <v>11780</v>
      </c>
    </row>
    <row r="43" spans="1:13" x14ac:dyDescent="0.45">
      <c r="A43" t="s">
        <v>138</v>
      </c>
      <c r="B43">
        <v>34180</v>
      </c>
      <c r="C43">
        <v>6000</v>
      </c>
      <c r="D43">
        <v>4068</v>
      </c>
      <c r="E43">
        <f>SUM(upfront[[#This Row],[msrp]:[lifetime_insurance]])</f>
        <v>44248</v>
      </c>
      <c r="F43" t="s">
        <v>83</v>
      </c>
      <c r="G43" t="str">
        <f>VLOOKUP(upfront[[#This Row],[vehicle_name]],vehicle_data[],24,FALSE)</f>
        <v>Useful</v>
      </c>
      <c r="H43">
        <f>_xlfn.MAXIFS(vehicle_data[Year],vehicle_data[Vehicle],upfront[[#This Row],[vehicle_name]])</f>
        <v>2</v>
      </c>
      <c r="I43">
        <f>_xlfn.MINIFS(vehicle_data[Odometer start], vehicle_data[Vehicle], upfront[[#This Row],[vehicle_name]])</f>
        <v>0</v>
      </c>
      <c r="J43" t="str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N/A</v>
      </c>
      <c r="K43" t="str">
        <f>IFERROR(upfront[[#This Row],[Mileage at useful life]]-upfront[[#This Row],[Mileage start]],"N/A")</f>
        <v>N/A</v>
      </c>
      <c r="L43" t="str">
        <f>IF(ISERROR(VLOOKUP(upfront[[#This Row],[vehicle_name]],'summary-by-location'!A:A,1,FALSE)),"NO","YES")</f>
        <v>YES</v>
      </c>
      <c r="M43">
        <f>VLOOKUP(A43,Sheet1!$A$2:$B$63,2,FALSE)</f>
        <v>21980</v>
      </c>
    </row>
    <row r="44" spans="1:13" x14ac:dyDescent="0.45">
      <c r="A44" t="s">
        <v>146</v>
      </c>
      <c r="B44">
        <v>40460</v>
      </c>
      <c r="C44">
        <v>7000</v>
      </c>
      <c r="D44">
        <v>2712</v>
      </c>
      <c r="E44">
        <f>SUM(upfront[[#This Row],[msrp]:[lifetime_insurance]])</f>
        <v>50172</v>
      </c>
      <c r="F44" t="s">
        <v>84</v>
      </c>
      <c r="G44" t="str">
        <f>VLOOKUP(upfront[[#This Row],[vehicle_name]],vehicle_data[],24,FALSE)</f>
        <v>Useful</v>
      </c>
      <c r="H44">
        <f>_xlfn.MAXIFS(vehicle_data[Year],vehicle_data[Vehicle],upfront[[#This Row],[vehicle_name]])</f>
        <v>6</v>
      </c>
      <c r="I44">
        <f>_xlfn.MINIFS(vehicle_data[Odometer start], vehicle_data[Vehicle], upfront[[#This Row],[vehicle_name]])</f>
        <v>0</v>
      </c>
      <c r="J44" t="str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N/A</v>
      </c>
      <c r="K44" t="str">
        <f>IFERROR(upfront[[#This Row],[Mileage at useful life]]-upfront[[#This Row],[Mileage start]],"N/A")</f>
        <v>N/A</v>
      </c>
      <c r="L44" t="str">
        <f>IF(ISERROR(VLOOKUP(upfront[[#This Row],[vehicle_name]],'summary-by-location'!A:A,1,FALSE)),"NO","YES")</f>
        <v>YES</v>
      </c>
      <c r="M44">
        <f>VLOOKUP(A44,Sheet1!$A$2:$B$63,2,FALSE)</f>
        <v>44710</v>
      </c>
    </row>
    <row r="45" spans="1:13" x14ac:dyDescent="0.45">
      <c r="A45" t="s">
        <v>148</v>
      </c>
      <c r="B45">
        <v>35465</v>
      </c>
      <c r="C45">
        <v>6000</v>
      </c>
      <c r="D45">
        <v>6780</v>
      </c>
      <c r="E45">
        <f>SUM(upfront[[#This Row],[msrp]:[lifetime_insurance]])</f>
        <v>48245</v>
      </c>
      <c r="F45" t="s">
        <v>84</v>
      </c>
      <c r="G45" t="str">
        <f>VLOOKUP(upfront[[#This Row],[vehicle_name]],vehicle_data[],24,FALSE)</f>
        <v>Useful</v>
      </c>
      <c r="H45">
        <f>_xlfn.MAXIFS(vehicle_data[Year],vehicle_data[Vehicle],upfront[[#This Row],[vehicle_name]])</f>
        <v>6</v>
      </c>
      <c r="I45">
        <f>_xlfn.MINIFS(vehicle_data[Odometer start], vehicle_data[Vehicle], upfront[[#This Row],[vehicle_name]])</f>
        <v>0</v>
      </c>
      <c r="J45" t="str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N/A</v>
      </c>
      <c r="K45" t="str">
        <f>IFERROR(upfront[[#This Row],[Mileage at useful life]]-upfront[[#This Row],[Mileage start]],"N/A")</f>
        <v>N/A</v>
      </c>
      <c r="L45" t="str">
        <f>IF(ISERROR(VLOOKUP(upfront[[#This Row],[vehicle_name]],'summary-by-location'!A:A,1,FALSE)),"NO","YES")</f>
        <v>YES</v>
      </c>
      <c r="M45">
        <f>VLOOKUP(A45,Sheet1!$A$2:$B$63,2,FALSE)</f>
        <v>18820</v>
      </c>
    </row>
    <row r="46" spans="1:13" x14ac:dyDescent="0.45">
      <c r="A46" t="s">
        <v>150</v>
      </c>
      <c r="B46">
        <v>34590</v>
      </c>
      <c r="C46">
        <v>6000</v>
      </c>
      <c r="D46">
        <v>5424</v>
      </c>
      <c r="E46">
        <f>SUM(upfront[[#This Row],[msrp]:[lifetime_insurance]])</f>
        <v>46014</v>
      </c>
      <c r="F46" t="s">
        <v>84</v>
      </c>
      <c r="G46" t="str">
        <f>VLOOKUP(upfront[[#This Row],[vehicle_name]],vehicle_data[],24,FALSE)</f>
        <v>Useful</v>
      </c>
      <c r="H46">
        <f>_xlfn.MAXIFS(vehicle_data[Year],vehicle_data[Vehicle],upfront[[#This Row],[vehicle_name]])</f>
        <v>3</v>
      </c>
      <c r="I46">
        <f>_xlfn.MINIFS(vehicle_data[Odometer start], vehicle_data[Vehicle], upfront[[#This Row],[vehicle_name]])</f>
        <v>0</v>
      </c>
      <c r="J46" t="str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N/A</v>
      </c>
      <c r="K46" t="str">
        <f>IFERROR(upfront[[#This Row],[Mileage at useful life]]-upfront[[#This Row],[Mileage start]],"N/A")</f>
        <v>N/A</v>
      </c>
      <c r="L46" t="str">
        <f>IF(ISERROR(VLOOKUP(upfront[[#This Row],[vehicle_name]],'summary-by-location'!A:A,1,FALSE)),"NO","YES")</f>
        <v>YES</v>
      </c>
      <c r="M46">
        <f>VLOOKUP(A46,Sheet1!$A$2:$B$63,2,FALSE)</f>
        <v>18370</v>
      </c>
    </row>
    <row r="47" spans="1:13" x14ac:dyDescent="0.45">
      <c r="A47" t="s">
        <v>145</v>
      </c>
      <c r="B47">
        <v>30240</v>
      </c>
      <c r="C47">
        <v>7000</v>
      </c>
      <c r="D47">
        <v>9492</v>
      </c>
      <c r="E47">
        <f>SUM(upfront[[#This Row],[msrp]:[lifetime_insurance]])</f>
        <v>46732</v>
      </c>
      <c r="F47" t="s">
        <v>84</v>
      </c>
      <c r="G47">
        <f>VLOOKUP(upfront[[#This Row],[vehicle_name]],vehicle_data[],24,FALSE)</f>
        <v>5</v>
      </c>
      <c r="H47">
        <f>_xlfn.MAXIFS(vehicle_data[Year],vehicle_data[Vehicle],upfront[[#This Row],[vehicle_name]])</f>
        <v>6</v>
      </c>
      <c r="I47">
        <f>_xlfn.MINIFS(vehicle_data[Odometer start], vehicle_data[Vehicle], upfront[[#This Row],[vehicle_name]])</f>
        <v>0</v>
      </c>
      <c r="J47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75525</v>
      </c>
      <c r="K47">
        <f>IFERROR(upfront[[#This Row],[Mileage at useful life]]-upfront[[#This Row],[Mileage start]],"N/A")</f>
        <v>75525</v>
      </c>
      <c r="L47" t="str">
        <f>IF(ISERROR(VLOOKUP(upfront[[#This Row],[vehicle_name]],'summary-by-location'!A:A,1,FALSE)),"NO","YES")</f>
        <v>YES</v>
      </c>
      <c r="M47">
        <f>VLOOKUP(A47,Sheet1!$A$2:$B$63,2,FALSE)</f>
        <v>17760</v>
      </c>
    </row>
    <row r="48" spans="1:13" x14ac:dyDescent="0.45">
      <c r="A48" t="s">
        <v>147</v>
      </c>
      <c r="B48">
        <v>40460</v>
      </c>
      <c r="C48">
        <v>7000</v>
      </c>
      <c r="D48">
        <v>2712</v>
      </c>
      <c r="E48">
        <f>SUM(upfront[[#This Row],[msrp]:[lifetime_insurance]])</f>
        <v>50172</v>
      </c>
      <c r="F48" t="s">
        <v>84</v>
      </c>
      <c r="G48" t="str">
        <f>VLOOKUP(upfront[[#This Row],[vehicle_name]],vehicle_data[],24,FALSE)</f>
        <v>Useful</v>
      </c>
      <c r="H48">
        <f>_xlfn.MAXIFS(vehicle_data[Year],vehicle_data[Vehicle],upfront[[#This Row],[vehicle_name]])</f>
        <v>2</v>
      </c>
      <c r="I48">
        <f>_xlfn.MINIFS(vehicle_data[Odometer start], vehicle_data[Vehicle], upfront[[#This Row],[vehicle_name]])</f>
        <v>0</v>
      </c>
      <c r="J48" t="str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N/A</v>
      </c>
      <c r="K48" t="str">
        <f>IFERROR(upfront[[#This Row],[Mileage at useful life]]-upfront[[#This Row],[Mileage start]],"N/A")</f>
        <v>N/A</v>
      </c>
      <c r="L48" t="str">
        <f>IF(ISERROR(VLOOKUP(upfront[[#This Row],[vehicle_name]],'summary-by-location'!A:A,1,FALSE)),"NO","YES")</f>
        <v>YES</v>
      </c>
      <c r="M48">
        <f>VLOOKUP(A48,Sheet1!$A$2:$B$63,2,FALSE)</f>
        <v>38500</v>
      </c>
    </row>
    <row r="49" spans="1:13" x14ac:dyDescent="0.45">
      <c r="A49" t="s">
        <v>149</v>
      </c>
      <c r="B49">
        <v>34950</v>
      </c>
      <c r="C49">
        <v>6000</v>
      </c>
      <c r="D49">
        <v>5424</v>
      </c>
      <c r="E49">
        <f>SUM(upfront[[#This Row],[msrp]:[lifetime_insurance]])</f>
        <v>46374</v>
      </c>
      <c r="F49" t="s">
        <v>84</v>
      </c>
      <c r="G49">
        <f>VLOOKUP(upfront[[#This Row],[vehicle_name]],vehicle_data[],24,FALSE)</f>
        <v>3</v>
      </c>
      <c r="H49">
        <f>_xlfn.MAXIFS(vehicle_data[Year],vehicle_data[Vehicle],upfront[[#This Row],[vehicle_name]])</f>
        <v>3</v>
      </c>
      <c r="I49">
        <f>_xlfn.MINIFS(vehicle_data[Odometer start], vehicle_data[Vehicle], upfront[[#This Row],[vehicle_name]])</f>
        <v>0</v>
      </c>
      <c r="J49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91191</v>
      </c>
      <c r="K49">
        <f>IFERROR(upfront[[#This Row],[Mileage at useful life]]-upfront[[#This Row],[Mileage start]],"N/A")</f>
        <v>91191</v>
      </c>
      <c r="L49" t="str">
        <f>IF(ISERROR(VLOOKUP(upfront[[#This Row],[vehicle_name]],'summary-by-location'!A:A,1,FALSE)),"NO","YES")</f>
        <v>YES</v>
      </c>
      <c r="M49">
        <f>VLOOKUP(A49,Sheet1!$A$2:$B$63,2,FALSE)</f>
        <v>14930</v>
      </c>
    </row>
    <row r="50" spans="1:13" x14ac:dyDescent="0.45">
      <c r="A50" t="s">
        <v>151</v>
      </c>
      <c r="B50">
        <v>34590</v>
      </c>
      <c r="C50">
        <v>6000</v>
      </c>
      <c r="D50">
        <v>5424</v>
      </c>
      <c r="E50">
        <f>SUM(upfront[[#This Row],[msrp]:[lifetime_insurance]])</f>
        <v>46014</v>
      </c>
      <c r="F50" t="s">
        <v>84</v>
      </c>
      <c r="G50" t="str">
        <f>VLOOKUP(upfront[[#This Row],[vehicle_name]],vehicle_data[],24,FALSE)</f>
        <v>Useful</v>
      </c>
      <c r="H50">
        <f>_xlfn.MAXIFS(vehicle_data[Year],vehicle_data[Vehicle],upfront[[#This Row],[vehicle_name]])</f>
        <v>5</v>
      </c>
      <c r="I50">
        <f>_xlfn.MINIFS(vehicle_data[Odometer start], vehicle_data[Vehicle], upfront[[#This Row],[vehicle_name]])</f>
        <v>0</v>
      </c>
      <c r="J50" t="str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N/A</v>
      </c>
      <c r="K50" t="str">
        <f>IFERROR(upfront[[#This Row],[Mileage at useful life]]-upfront[[#This Row],[Mileage start]],"N/A")</f>
        <v>N/A</v>
      </c>
      <c r="L50" t="str">
        <f>IF(ISERROR(VLOOKUP(upfront[[#This Row],[vehicle_name]],'summary-by-location'!A:A,1,FALSE)),"NO","YES")</f>
        <v>YES</v>
      </c>
      <c r="M50">
        <f>VLOOKUP(A50,Sheet1!$A$2:$B$63,2,FALSE)</f>
        <v>19610</v>
      </c>
    </row>
    <row r="51" spans="1:13" x14ac:dyDescent="0.45">
      <c r="A51" t="s">
        <v>141</v>
      </c>
      <c r="B51">
        <v>35115</v>
      </c>
      <c r="C51">
        <v>6000</v>
      </c>
      <c r="D51">
        <v>5424</v>
      </c>
      <c r="E51">
        <f>SUM(upfront[[#This Row],[msrp]:[lifetime_insurance]])</f>
        <v>46539</v>
      </c>
      <c r="F51" t="s">
        <v>83</v>
      </c>
      <c r="G51" t="str">
        <f>VLOOKUP(upfront[[#This Row],[vehicle_name]],vehicle_data[],24,FALSE)</f>
        <v>Useful</v>
      </c>
      <c r="H51">
        <f>_xlfn.MAXIFS(vehicle_data[Year],vehicle_data[Vehicle],upfront[[#This Row],[vehicle_name]])</f>
        <v>2</v>
      </c>
      <c r="I51">
        <f>_xlfn.MINIFS(vehicle_data[Odometer start], vehicle_data[Vehicle], upfront[[#This Row],[vehicle_name]])</f>
        <v>0</v>
      </c>
      <c r="J51" t="str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N/A</v>
      </c>
      <c r="K51" t="str">
        <f>IFERROR(upfront[[#This Row],[Mileage at useful life]]-upfront[[#This Row],[Mileage start]],"N/A")</f>
        <v>N/A</v>
      </c>
      <c r="L51" t="str">
        <f>IF(ISERROR(VLOOKUP(upfront[[#This Row],[vehicle_name]],'summary-by-location'!A:A,1,FALSE)),"NO","YES")</f>
        <v>YES</v>
      </c>
      <c r="M51">
        <f>VLOOKUP(A51,Sheet1!$A$2:$B$63,2,FALSE)</f>
        <v>28480</v>
      </c>
    </row>
    <row r="52" spans="1:13" x14ac:dyDescent="0.45">
      <c r="A52" t="s">
        <v>143</v>
      </c>
      <c r="B52">
        <v>35460</v>
      </c>
      <c r="C52">
        <v>6000</v>
      </c>
      <c r="D52">
        <v>2712</v>
      </c>
      <c r="E52">
        <f>SUM(upfront[[#This Row],[msrp]:[lifetime_insurance]])</f>
        <v>44172</v>
      </c>
      <c r="F52" t="s">
        <v>83</v>
      </c>
      <c r="G52" t="str">
        <f>VLOOKUP(upfront[[#This Row],[vehicle_name]],vehicle_data[],24,FALSE)</f>
        <v>Useful</v>
      </c>
      <c r="H52">
        <f>_xlfn.MAXIFS(vehicle_data[Year],vehicle_data[Vehicle],upfront[[#This Row],[vehicle_name]])</f>
        <v>1</v>
      </c>
      <c r="I52">
        <f>_xlfn.MINIFS(vehicle_data[Odometer start], vehicle_data[Vehicle], upfront[[#This Row],[vehicle_name]])</f>
        <v>0</v>
      </c>
      <c r="J52" t="str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N/A</v>
      </c>
      <c r="K52" t="str">
        <f>IFERROR(upfront[[#This Row],[Mileage at useful life]]-upfront[[#This Row],[Mileage start]],"N/A")</f>
        <v>N/A</v>
      </c>
      <c r="L52" t="str">
        <f>IF(ISERROR(VLOOKUP(upfront[[#This Row],[vehicle_name]],'summary-by-location'!A:A,1,FALSE)),"NO","YES")</f>
        <v>YES</v>
      </c>
      <c r="M52">
        <f>VLOOKUP(A52,Sheet1!$A$2:$B$63,2,FALSE)</f>
        <v>35580</v>
      </c>
    </row>
    <row r="53" spans="1:13" x14ac:dyDescent="0.45">
      <c r="A53" t="s">
        <v>113</v>
      </c>
      <c r="B53">
        <v>36040</v>
      </c>
      <c r="C53">
        <v>7000</v>
      </c>
      <c r="D53">
        <v>8136</v>
      </c>
      <c r="E53">
        <f>SUM(upfront[[#This Row],[msrp]:[lifetime_insurance]])</f>
        <v>51176</v>
      </c>
      <c r="F53" t="s">
        <v>81</v>
      </c>
      <c r="G53">
        <f>VLOOKUP(upfront[[#This Row],[vehicle_name]],vehicle_data[],24,FALSE)</f>
        <v>4</v>
      </c>
      <c r="H53">
        <f>_xlfn.MAXIFS(vehicle_data[Year],vehicle_data[Vehicle],upfront[[#This Row],[vehicle_name]])</f>
        <v>6</v>
      </c>
      <c r="I53">
        <f>_xlfn.MINIFS(vehicle_data[Odometer start], vehicle_data[Vehicle], upfront[[#This Row],[vehicle_name]])</f>
        <v>0</v>
      </c>
      <c r="J53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117308</v>
      </c>
      <c r="K53">
        <f>IFERROR(upfront[[#This Row],[Mileage at useful life]]-upfront[[#This Row],[Mileage start]],"N/A")</f>
        <v>117308</v>
      </c>
      <c r="L53" t="str">
        <f>IF(ISERROR(VLOOKUP(upfront[[#This Row],[vehicle_name]],'summary-by-location'!A:A,1,FALSE)),"NO","YES")</f>
        <v>YES</v>
      </c>
      <c r="M53" s="14">
        <v>10000</v>
      </c>
    </row>
    <row r="54" spans="1:13" x14ac:dyDescent="0.45">
      <c r="A54" t="s">
        <v>122</v>
      </c>
      <c r="B54" s="44">
        <v>34960</v>
      </c>
      <c r="C54" s="44">
        <v>6000</v>
      </c>
      <c r="D54" s="44">
        <v>2712</v>
      </c>
      <c r="E54">
        <f>SUM(upfront[[#This Row],[msrp]:[lifetime_insurance]])</f>
        <v>43672</v>
      </c>
      <c r="F54" t="s">
        <v>82</v>
      </c>
      <c r="G54" t="str">
        <f>VLOOKUP(upfront[[#This Row],[vehicle_name]],vehicle_data[],24,FALSE)</f>
        <v>Useful</v>
      </c>
      <c r="H54">
        <f>_xlfn.MAXIFS(vehicle_data[Year],vehicle_data[Vehicle],upfront[[#This Row],[vehicle_name]])</f>
        <v>2</v>
      </c>
      <c r="I54">
        <f>_xlfn.MINIFS(vehicle_data[Odometer start], vehicle_data[Vehicle], upfront[[#This Row],[vehicle_name]])</f>
        <v>0</v>
      </c>
      <c r="J54" t="str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N/A</v>
      </c>
      <c r="K54" t="str">
        <f>IFERROR(upfront[[#This Row],[Mileage at useful life]]-upfront[[#This Row],[Mileage start]],"N/A")</f>
        <v>N/A</v>
      </c>
      <c r="L54" t="str">
        <f>IF(ISERROR(VLOOKUP(upfront[[#This Row],[vehicle_name]],'summary-by-location'!A:A,1,FALSE)),"NO","YES")</f>
        <v>YES</v>
      </c>
      <c r="M54">
        <f>VLOOKUP(A54,Sheet1!$A$2:$B$63,2,FALSE)</f>
        <v>26550</v>
      </c>
    </row>
    <row r="55" spans="1:13" x14ac:dyDescent="0.45">
      <c r="A55" t="s">
        <v>144</v>
      </c>
      <c r="B55">
        <v>35460</v>
      </c>
      <c r="C55">
        <v>6000</v>
      </c>
      <c r="D55">
        <v>2712</v>
      </c>
      <c r="E55">
        <f>SUM(upfront[[#This Row],[msrp]:[lifetime_insurance]])</f>
        <v>44172</v>
      </c>
      <c r="F55" t="s">
        <v>83</v>
      </c>
      <c r="G55" t="str">
        <f>VLOOKUP(upfront[[#This Row],[vehicle_name]],vehicle_data[],24,FALSE)</f>
        <v>Useful</v>
      </c>
      <c r="H55">
        <f>_xlfn.MAXIFS(vehicle_data[Year],vehicle_data[Vehicle],upfront[[#This Row],[vehicle_name]])</f>
        <v>2</v>
      </c>
      <c r="I55">
        <f>_xlfn.MINIFS(vehicle_data[Odometer start], vehicle_data[Vehicle], upfront[[#This Row],[vehicle_name]])</f>
        <v>0</v>
      </c>
      <c r="J55" t="str">
        <f>IF(_xlfn.MINIFS(vehicle_data[Odometer end], vehicle_data[Vehicle], upfront[[#This Row],[vehicle_name]], vehicle_data[Asset value less lifetime fuel and maintenance costs], "&lt;0")=0,
"N/A",
_xlfn.MINIFS(vehicle_data[Odometer end], vehicle_data[Vehicle], upfront[[#This Row],[vehicle_name]], vehicle_data[Asset value less lifetime fuel and maintenance costs], "&lt;0"))</f>
        <v>N/A</v>
      </c>
      <c r="K55" t="str">
        <f>IFERROR(upfront[[#This Row],[Mileage at useful life]]-upfront[[#This Row],[Mileage start]],"N/A")</f>
        <v>N/A</v>
      </c>
      <c r="L55" t="str">
        <f>IF(ISERROR(VLOOKUP(upfront[[#This Row],[vehicle_name]],'summary-by-location'!A:A,1,FALSE)),"NO","YES")</f>
        <v>YES</v>
      </c>
      <c r="M55">
        <f>VLOOKUP(A55,Sheet1!$A$2:$B$63,2,FALSE)</f>
        <v>34830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D7D8-6280-42A5-B50A-5468594D2F0E}">
  <sheetPr>
    <tabColor rgb="FFFF9999"/>
  </sheetPr>
  <dimension ref="A1:B63"/>
  <sheetViews>
    <sheetView workbookViewId="0">
      <selection activeCell="B26" sqref="B26"/>
    </sheetView>
  </sheetViews>
  <sheetFormatPr defaultRowHeight="14.25" x14ac:dyDescent="0.45"/>
  <sheetData>
    <row r="1" spans="1:2" ht="15.4" x14ac:dyDescent="0.45">
      <c r="A1" s="57" t="s">
        <v>635</v>
      </c>
      <c r="B1" t="s">
        <v>646</v>
      </c>
    </row>
    <row r="2" spans="1:2" x14ac:dyDescent="0.45">
      <c r="A2" s="58" t="s">
        <v>99</v>
      </c>
      <c r="B2" s="15">
        <v>12740</v>
      </c>
    </row>
    <row r="3" spans="1:2" x14ac:dyDescent="0.45">
      <c r="A3" s="58" t="s">
        <v>101</v>
      </c>
      <c r="B3" s="15">
        <v>9120</v>
      </c>
    </row>
    <row r="4" spans="1:2" x14ac:dyDescent="0.45">
      <c r="A4" s="58" t="s">
        <v>102</v>
      </c>
      <c r="B4" s="15">
        <v>12120</v>
      </c>
    </row>
    <row r="5" spans="1:2" x14ac:dyDescent="0.45">
      <c r="A5" s="58" t="s">
        <v>103</v>
      </c>
      <c r="B5" s="15">
        <v>10060</v>
      </c>
    </row>
    <row r="6" spans="1:2" x14ac:dyDescent="0.45">
      <c r="A6" s="58" t="s">
        <v>104</v>
      </c>
      <c r="B6" s="15">
        <v>15650</v>
      </c>
    </row>
    <row r="7" spans="1:2" x14ac:dyDescent="0.45">
      <c r="A7" s="58" t="s">
        <v>105</v>
      </c>
      <c r="B7" s="15">
        <v>29370</v>
      </c>
    </row>
    <row r="8" spans="1:2" x14ac:dyDescent="0.45">
      <c r="A8" s="58" t="s">
        <v>106</v>
      </c>
      <c r="B8" s="15">
        <v>29780</v>
      </c>
    </row>
    <row r="9" spans="1:2" x14ac:dyDescent="0.45">
      <c r="A9" s="58" t="s">
        <v>107</v>
      </c>
      <c r="B9" s="15">
        <v>33190</v>
      </c>
    </row>
    <row r="10" spans="1:2" x14ac:dyDescent="0.45">
      <c r="A10" s="58" t="s">
        <v>108</v>
      </c>
      <c r="B10" s="15">
        <v>11520</v>
      </c>
    </row>
    <row r="11" spans="1:2" x14ac:dyDescent="0.45">
      <c r="A11" s="58" t="s">
        <v>109</v>
      </c>
      <c r="B11" s="15">
        <v>9360</v>
      </c>
    </row>
    <row r="12" spans="1:2" x14ac:dyDescent="0.45">
      <c r="A12" s="58" t="s">
        <v>593</v>
      </c>
      <c r="B12" s="15">
        <v>28750</v>
      </c>
    </row>
    <row r="13" spans="1:2" x14ac:dyDescent="0.45">
      <c r="A13" s="58" t="s">
        <v>596</v>
      </c>
      <c r="B13" s="15">
        <v>29430</v>
      </c>
    </row>
    <row r="14" spans="1:2" x14ac:dyDescent="0.45">
      <c r="A14" s="58" t="s">
        <v>111</v>
      </c>
      <c r="B14" s="15">
        <v>12620</v>
      </c>
    </row>
    <row r="15" spans="1:2" x14ac:dyDescent="0.45">
      <c r="A15" s="58" t="s">
        <v>110</v>
      </c>
      <c r="B15" s="15">
        <v>14460</v>
      </c>
    </row>
    <row r="16" spans="1:2" x14ac:dyDescent="0.45">
      <c r="A16" s="58" t="s">
        <v>115</v>
      </c>
      <c r="B16" s="15">
        <v>26350</v>
      </c>
    </row>
    <row r="17" spans="1:2" x14ac:dyDescent="0.45">
      <c r="A17" s="58" t="s">
        <v>111</v>
      </c>
      <c r="B17" s="15" t="s">
        <v>647</v>
      </c>
    </row>
    <row r="18" spans="1:2" x14ac:dyDescent="0.45">
      <c r="A18" s="58" t="s">
        <v>112</v>
      </c>
      <c r="B18" s="15" t="s">
        <v>647</v>
      </c>
    </row>
    <row r="19" spans="1:2" x14ac:dyDescent="0.45">
      <c r="A19" s="58" t="s">
        <v>114</v>
      </c>
      <c r="B19" s="15">
        <v>27690</v>
      </c>
    </row>
    <row r="20" spans="1:2" x14ac:dyDescent="0.45">
      <c r="A20" s="58" t="s">
        <v>489</v>
      </c>
      <c r="B20" t="s">
        <v>538</v>
      </c>
    </row>
    <row r="21" spans="1:2" x14ac:dyDescent="0.45">
      <c r="A21" s="58" t="s">
        <v>485</v>
      </c>
      <c r="B21" t="s">
        <v>538</v>
      </c>
    </row>
    <row r="22" spans="1:2" x14ac:dyDescent="0.45">
      <c r="A22" s="58" t="s">
        <v>633</v>
      </c>
      <c r="B22" t="s">
        <v>538</v>
      </c>
    </row>
    <row r="23" spans="1:2" x14ac:dyDescent="0.45">
      <c r="A23" s="58" t="s">
        <v>648</v>
      </c>
      <c r="B23" t="s">
        <v>538</v>
      </c>
    </row>
    <row r="24" spans="1:2" x14ac:dyDescent="0.45">
      <c r="A24" s="58" t="s">
        <v>497</v>
      </c>
      <c r="B24" s="15">
        <v>9640</v>
      </c>
    </row>
    <row r="25" spans="1:2" x14ac:dyDescent="0.45">
      <c r="A25" s="58" t="s">
        <v>145</v>
      </c>
      <c r="B25" s="15">
        <v>17760</v>
      </c>
    </row>
    <row r="26" spans="1:2" x14ac:dyDescent="0.45">
      <c r="A26" s="58" t="s">
        <v>149</v>
      </c>
      <c r="B26" s="15">
        <v>14930</v>
      </c>
    </row>
    <row r="27" spans="1:2" x14ac:dyDescent="0.45">
      <c r="A27" s="58" t="s">
        <v>148</v>
      </c>
      <c r="B27" s="15">
        <v>18820</v>
      </c>
    </row>
    <row r="28" spans="1:2" x14ac:dyDescent="0.45">
      <c r="A28" s="58" t="s">
        <v>151</v>
      </c>
      <c r="B28" s="15">
        <v>19610</v>
      </c>
    </row>
    <row r="29" spans="1:2" x14ac:dyDescent="0.45">
      <c r="A29" s="58" t="s">
        <v>150</v>
      </c>
      <c r="B29" s="15">
        <v>18370</v>
      </c>
    </row>
    <row r="30" spans="1:2" x14ac:dyDescent="0.45">
      <c r="A30" s="58" t="s">
        <v>147</v>
      </c>
      <c r="B30" s="15">
        <v>38500</v>
      </c>
    </row>
    <row r="31" spans="1:2" x14ac:dyDescent="0.45">
      <c r="A31" s="58" t="s">
        <v>146</v>
      </c>
      <c r="B31" s="15">
        <v>44710</v>
      </c>
    </row>
    <row r="32" spans="1:2" x14ac:dyDescent="0.45">
      <c r="A32" s="58" t="s">
        <v>116</v>
      </c>
      <c r="B32" s="15">
        <v>17870</v>
      </c>
    </row>
    <row r="33" spans="1:2" x14ac:dyDescent="0.45">
      <c r="A33" s="58" t="s">
        <v>117</v>
      </c>
      <c r="B33" s="15">
        <v>11300</v>
      </c>
    </row>
    <row r="34" spans="1:2" x14ac:dyDescent="0.45">
      <c r="A34" s="58" t="s">
        <v>118</v>
      </c>
      <c r="B34" s="15">
        <v>12600</v>
      </c>
    </row>
    <row r="35" spans="1:2" x14ac:dyDescent="0.45">
      <c r="A35" s="58" t="s">
        <v>119</v>
      </c>
      <c r="B35" s="15">
        <v>10500</v>
      </c>
    </row>
    <row r="36" spans="1:2" x14ac:dyDescent="0.45">
      <c r="A36" s="58" t="s">
        <v>120</v>
      </c>
      <c r="B36" s="15">
        <v>11300</v>
      </c>
    </row>
    <row r="37" spans="1:2" x14ac:dyDescent="0.45">
      <c r="A37" s="58" t="s">
        <v>121</v>
      </c>
      <c r="B37" s="15">
        <v>11290</v>
      </c>
    </row>
    <row r="38" spans="1:2" x14ac:dyDescent="0.45">
      <c r="A38" s="58" t="s">
        <v>649</v>
      </c>
      <c r="B38" s="15">
        <v>30980</v>
      </c>
    </row>
    <row r="39" spans="1:2" x14ac:dyDescent="0.45">
      <c r="A39" s="58" t="s">
        <v>122</v>
      </c>
      <c r="B39" s="15">
        <v>26550</v>
      </c>
    </row>
    <row r="40" spans="1:2" x14ac:dyDescent="0.45">
      <c r="A40" s="58" t="s">
        <v>123</v>
      </c>
      <c r="B40" s="15">
        <v>25750</v>
      </c>
    </row>
    <row r="41" spans="1:2" x14ac:dyDescent="0.45">
      <c r="A41" s="58" t="s">
        <v>124</v>
      </c>
      <c r="B41" s="15">
        <v>34760</v>
      </c>
    </row>
    <row r="42" spans="1:2" x14ac:dyDescent="0.45">
      <c r="A42" s="58" t="s">
        <v>125</v>
      </c>
      <c r="B42" s="15">
        <v>9960</v>
      </c>
    </row>
    <row r="43" spans="1:2" x14ac:dyDescent="0.45">
      <c r="A43" s="58" t="s">
        <v>126</v>
      </c>
      <c r="B43" s="15">
        <v>9330</v>
      </c>
    </row>
    <row r="44" spans="1:2" x14ac:dyDescent="0.45">
      <c r="A44" s="58" t="s">
        <v>127</v>
      </c>
      <c r="B44" s="15">
        <v>11200</v>
      </c>
    </row>
    <row r="45" spans="1:2" x14ac:dyDescent="0.45">
      <c r="A45" s="58" t="s">
        <v>132</v>
      </c>
      <c r="B45" s="15">
        <v>8570</v>
      </c>
    </row>
    <row r="46" spans="1:2" x14ac:dyDescent="0.45">
      <c r="A46" s="58" t="s">
        <v>133</v>
      </c>
      <c r="B46" s="15">
        <v>9530</v>
      </c>
    </row>
    <row r="47" spans="1:2" x14ac:dyDescent="0.45">
      <c r="A47" s="58" t="s">
        <v>134</v>
      </c>
      <c r="B47" s="15">
        <v>9800</v>
      </c>
    </row>
    <row r="48" spans="1:2" x14ac:dyDescent="0.45">
      <c r="A48" s="58" t="s">
        <v>135</v>
      </c>
      <c r="B48" s="15">
        <v>14260</v>
      </c>
    </row>
    <row r="49" spans="1:2" x14ac:dyDescent="0.45">
      <c r="A49" s="58" t="s">
        <v>136</v>
      </c>
      <c r="B49" s="15">
        <v>11780</v>
      </c>
    </row>
    <row r="50" spans="1:2" x14ac:dyDescent="0.45">
      <c r="A50" s="58" t="s">
        <v>137</v>
      </c>
      <c r="B50" s="15">
        <v>11360</v>
      </c>
    </row>
    <row r="51" spans="1:2" x14ac:dyDescent="0.45">
      <c r="A51" s="58" t="s">
        <v>138</v>
      </c>
      <c r="B51" s="15">
        <v>21980</v>
      </c>
    </row>
    <row r="52" spans="1:2" x14ac:dyDescent="0.45">
      <c r="A52" s="58" t="s">
        <v>140</v>
      </c>
      <c r="B52" s="15">
        <v>28310</v>
      </c>
    </row>
    <row r="53" spans="1:2" x14ac:dyDescent="0.45">
      <c r="A53" s="58" t="s">
        <v>141</v>
      </c>
      <c r="B53" s="15">
        <v>28480</v>
      </c>
    </row>
    <row r="54" spans="1:2" x14ac:dyDescent="0.45">
      <c r="A54" s="58" t="s">
        <v>142</v>
      </c>
      <c r="B54" s="15">
        <v>28720</v>
      </c>
    </row>
    <row r="55" spans="1:2" x14ac:dyDescent="0.45">
      <c r="A55" s="58" t="s">
        <v>143</v>
      </c>
      <c r="B55" s="15">
        <v>35580</v>
      </c>
    </row>
    <row r="56" spans="1:2" x14ac:dyDescent="0.45">
      <c r="A56" s="58" t="s">
        <v>144</v>
      </c>
      <c r="B56" s="15">
        <v>34830</v>
      </c>
    </row>
    <row r="57" spans="1:2" x14ac:dyDescent="0.45">
      <c r="A57" s="58" t="s">
        <v>537</v>
      </c>
      <c r="B57" t="s">
        <v>538</v>
      </c>
    </row>
    <row r="58" spans="1:2" x14ac:dyDescent="0.45">
      <c r="A58" s="58" t="s">
        <v>541</v>
      </c>
      <c r="B58" t="s">
        <v>650</v>
      </c>
    </row>
    <row r="59" spans="1:2" x14ac:dyDescent="0.45">
      <c r="A59" s="58" t="s">
        <v>630</v>
      </c>
      <c r="B59" t="s">
        <v>538</v>
      </c>
    </row>
    <row r="60" spans="1:2" x14ac:dyDescent="0.45">
      <c r="A60" s="58" t="s">
        <v>651</v>
      </c>
      <c r="B60" t="s">
        <v>650</v>
      </c>
    </row>
    <row r="61" spans="1:2" x14ac:dyDescent="0.45">
      <c r="A61" s="58" t="s">
        <v>131</v>
      </c>
      <c r="B61" s="15">
        <v>10450</v>
      </c>
    </row>
    <row r="62" spans="1:2" x14ac:dyDescent="0.45">
      <c r="A62" s="58" t="s">
        <v>128</v>
      </c>
      <c r="B62" s="15">
        <v>10980</v>
      </c>
    </row>
    <row r="63" spans="1:2" x14ac:dyDescent="0.45">
      <c r="A63" s="58" t="s">
        <v>129</v>
      </c>
      <c r="B63" t="s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24E0-5065-40C9-A96D-28DABAD351A9}">
  <sheetPr>
    <tabColor rgb="FFFF9999"/>
  </sheetPr>
  <dimension ref="A1:H1271"/>
  <sheetViews>
    <sheetView workbookViewId="0">
      <pane ySplit="1" topLeftCell="A2" activePane="bottomLeft" state="frozen"/>
      <selection activeCell="B26" sqref="B26"/>
      <selection pane="bottomLeft" activeCell="B26" sqref="B26"/>
    </sheetView>
  </sheetViews>
  <sheetFormatPr defaultRowHeight="14.25" x14ac:dyDescent="0.45"/>
  <cols>
    <col min="1" max="1" width="13.6640625" customWidth="1"/>
    <col min="2" max="2" width="11.59765625" customWidth="1"/>
    <col min="3" max="3" width="12.6640625" customWidth="1"/>
    <col min="5" max="5" width="13.6640625" style="9" customWidth="1"/>
  </cols>
  <sheetData>
    <row r="1" spans="1:5" x14ac:dyDescent="0.45">
      <c r="A1" t="s">
        <v>635</v>
      </c>
      <c r="B1" t="s">
        <v>652</v>
      </c>
      <c r="C1" t="s">
        <v>653</v>
      </c>
      <c r="D1" t="s">
        <v>654</v>
      </c>
      <c r="E1" s="9" t="s">
        <v>655</v>
      </c>
    </row>
    <row r="2" spans="1:5" x14ac:dyDescent="0.45">
      <c r="A2" t="s">
        <v>99</v>
      </c>
      <c r="B2" t="s">
        <v>318</v>
      </c>
      <c r="C2">
        <v>174976</v>
      </c>
      <c r="D2">
        <v>77.73</v>
      </c>
      <c r="E2" s="9">
        <v>44093</v>
      </c>
    </row>
    <row r="3" spans="1:5" x14ac:dyDescent="0.45">
      <c r="A3" t="s">
        <v>99</v>
      </c>
      <c r="B3" t="s">
        <v>318</v>
      </c>
      <c r="C3">
        <v>168543</v>
      </c>
      <c r="D3">
        <v>1901.76</v>
      </c>
      <c r="E3" s="9">
        <v>43995</v>
      </c>
    </row>
    <row r="4" spans="1:5" x14ac:dyDescent="0.45">
      <c r="A4" t="s">
        <v>99</v>
      </c>
      <c r="B4" t="s">
        <v>318</v>
      </c>
      <c r="C4">
        <v>166716</v>
      </c>
      <c r="D4">
        <v>82.72</v>
      </c>
      <c r="E4" s="9">
        <v>43967</v>
      </c>
    </row>
    <row r="5" spans="1:5" x14ac:dyDescent="0.45">
      <c r="A5" t="s">
        <v>99</v>
      </c>
      <c r="B5" t="s">
        <v>318</v>
      </c>
      <c r="C5">
        <v>166716</v>
      </c>
      <c r="D5">
        <v>82.72</v>
      </c>
      <c r="E5" s="9">
        <v>43967</v>
      </c>
    </row>
    <row r="6" spans="1:5" x14ac:dyDescent="0.45">
      <c r="A6" t="s">
        <v>99</v>
      </c>
      <c r="B6" t="s">
        <v>318</v>
      </c>
      <c r="C6">
        <v>157557</v>
      </c>
      <c r="D6">
        <v>654.71</v>
      </c>
      <c r="E6" s="9">
        <v>43845</v>
      </c>
    </row>
    <row r="7" spans="1:5" x14ac:dyDescent="0.45">
      <c r="A7" t="s">
        <v>99</v>
      </c>
      <c r="B7" t="s">
        <v>318</v>
      </c>
      <c r="C7">
        <v>155832</v>
      </c>
      <c r="D7">
        <v>77.88</v>
      </c>
      <c r="E7" s="9">
        <v>43830</v>
      </c>
    </row>
    <row r="8" spans="1:5" x14ac:dyDescent="0.45">
      <c r="A8" t="s">
        <v>99</v>
      </c>
      <c r="B8" t="s">
        <v>318</v>
      </c>
      <c r="C8">
        <v>145526.5</v>
      </c>
      <c r="D8">
        <v>1643.85</v>
      </c>
      <c r="E8" s="9">
        <v>43678</v>
      </c>
    </row>
    <row r="9" spans="1:5" x14ac:dyDescent="0.45">
      <c r="A9" t="s">
        <v>99</v>
      </c>
      <c r="B9" t="s">
        <v>318</v>
      </c>
      <c r="C9">
        <v>135221</v>
      </c>
      <c r="D9">
        <v>87.26</v>
      </c>
      <c r="E9" s="9">
        <v>43581</v>
      </c>
    </row>
    <row r="10" spans="1:5" x14ac:dyDescent="0.45">
      <c r="A10" t="s">
        <v>99</v>
      </c>
      <c r="B10" t="s">
        <v>318</v>
      </c>
      <c r="C10">
        <v>125737</v>
      </c>
      <c r="D10">
        <v>2342.69</v>
      </c>
      <c r="E10" s="9">
        <v>43539</v>
      </c>
    </row>
    <row r="11" spans="1:5" x14ac:dyDescent="0.45">
      <c r="A11" t="s">
        <v>99</v>
      </c>
      <c r="B11" t="s">
        <v>318</v>
      </c>
      <c r="C11">
        <v>125797</v>
      </c>
      <c r="D11">
        <v>77.510000000000005</v>
      </c>
      <c r="E11" s="9">
        <v>43480</v>
      </c>
    </row>
    <row r="12" spans="1:5" x14ac:dyDescent="0.45">
      <c r="A12" t="s">
        <v>99</v>
      </c>
      <c r="B12" t="s">
        <v>318</v>
      </c>
      <c r="C12">
        <v>120739</v>
      </c>
      <c r="D12">
        <v>982.86</v>
      </c>
      <c r="E12" s="9">
        <v>43410</v>
      </c>
    </row>
    <row r="13" spans="1:5" x14ac:dyDescent="0.45">
      <c r="A13" t="s">
        <v>99</v>
      </c>
      <c r="B13" t="s">
        <v>318</v>
      </c>
      <c r="C13">
        <v>116686</v>
      </c>
      <c r="D13">
        <v>50.28</v>
      </c>
      <c r="E13" s="9">
        <v>43365</v>
      </c>
    </row>
    <row r="14" spans="1:5" x14ac:dyDescent="0.45">
      <c r="A14" t="s">
        <v>99</v>
      </c>
      <c r="B14" t="s">
        <v>318</v>
      </c>
      <c r="C14">
        <v>114857</v>
      </c>
      <c r="D14">
        <v>722.76</v>
      </c>
      <c r="E14" s="9">
        <v>43348</v>
      </c>
    </row>
    <row r="15" spans="1:5" x14ac:dyDescent="0.45">
      <c r="A15" t="s">
        <v>99</v>
      </c>
      <c r="B15" t="s">
        <v>318</v>
      </c>
      <c r="C15">
        <v>114862</v>
      </c>
      <c r="D15">
        <v>100</v>
      </c>
      <c r="E15" s="9">
        <v>43339</v>
      </c>
    </row>
    <row r="16" spans="1:5" x14ac:dyDescent="0.45">
      <c r="A16" t="s">
        <v>99</v>
      </c>
      <c r="B16" t="s">
        <v>318</v>
      </c>
      <c r="C16">
        <v>106904</v>
      </c>
      <c r="D16">
        <v>125</v>
      </c>
      <c r="E16" s="9">
        <v>43235</v>
      </c>
    </row>
    <row r="17" spans="1:5" x14ac:dyDescent="0.45">
      <c r="A17" t="s">
        <v>99</v>
      </c>
      <c r="B17" t="s">
        <v>318</v>
      </c>
      <c r="C17">
        <v>96844</v>
      </c>
      <c r="D17">
        <v>125</v>
      </c>
      <c r="E17" s="9">
        <v>43041</v>
      </c>
    </row>
    <row r="18" spans="1:5" x14ac:dyDescent="0.45">
      <c r="A18" t="s">
        <v>99</v>
      </c>
      <c r="B18" t="s">
        <v>318</v>
      </c>
      <c r="C18">
        <v>89457</v>
      </c>
      <c r="D18">
        <v>205</v>
      </c>
      <c r="E18" s="9">
        <v>42954</v>
      </c>
    </row>
    <row r="19" spans="1:5" x14ac:dyDescent="0.45">
      <c r="A19" t="s">
        <v>99</v>
      </c>
      <c r="B19" t="s">
        <v>318</v>
      </c>
      <c r="C19">
        <v>87778</v>
      </c>
      <c r="D19">
        <v>20</v>
      </c>
      <c r="E19" s="9">
        <v>42934</v>
      </c>
    </row>
    <row r="20" spans="1:5" x14ac:dyDescent="0.45">
      <c r="A20" t="s">
        <v>99</v>
      </c>
      <c r="B20" t="s">
        <v>318</v>
      </c>
      <c r="C20">
        <v>87041</v>
      </c>
      <c r="D20">
        <v>80</v>
      </c>
      <c r="E20" s="9">
        <v>42927</v>
      </c>
    </row>
    <row r="21" spans="1:5" x14ac:dyDescent="0.45">
      <c r="A21" t="s">
        <v>99</v>
      </c>
      <c r="B21" t="s">
        <v>318</v>
      </c>
      <c r="C21">
        <v>86750</v>
      </c>
      <c r="D21">
        <v>477.14</v>
      </c>
      <c r="E21" s="9">
        <v>42924</v>
      </c>
    </row>
    <row r="22" spans="1:5" x14ac:dyDescent="0.45">
      <c r="A22" t="s">
        <v>99</v>
      </c>
      <c r="B22" t="s">
        <v>318</v>
      </c>
      <c r="C22">
        <v>78626</v>
      </c>
      <c r="D22">
        <v>125</v>
      </c>
      <c r="E22" s="9">
        <v>42836</v>
      </c>
    </row>
    <row r="23" spans="1:5" x14ac:dyDescent="0.45">
      <c r="A23" t="s">
        <v>99</v>
      </c>
      <c r="B23" t="s">
        <v>318</v>
      </c>
      <c r="C23">
        <v>69039</v>
      </c>
      <c r="D23">
        <v>100</v>
      </c>
      <c r="E23" s="9">
        <v>42719</v>
      </c>
    </row>
    <row r="24" spans="1:5" x14ac:dyDescent="0.45">
      <c r="A24" t="s">
        <v>99</v>
      </c>
      <c r="B24" t="s">
        <v>318</v>
      </c>
      <c r="C24">
        <v>64449</v>
      </c>
      <c r="D24">
        <v>100</v>
      </c>
      <c r="E24" s="9">
        <v>42662</v>
      </c>
    </row>
    <row r="25" spans="1:5" x14ac:dyDescent="0.45">
      <c r="A25" t="s">
        <v>99</v>
      </c>
      <c r="B25" t="s">
        <v>318</v>
      </c>
      <c r="C25">
        <v>63407</v>
      </c>
      <c r="D25">
        <v>125</v>
      </c>
      <c r="E25" s="9">
        <v>42648</v>
      </c>
    </row>
    <row r="26" spans="1:5" x14ac:dyDescent="0.45">
      <c r="A26" t="s">
        <v>99</v>
      </c>
      <c r="B26" t="s">
        <v>318</v>
      </c>
      <c r="C26">
        <v>59459</v>
      </c>
      <c r="D26">
        <v>125</v>
      </c>
      <c r="E26" s="9">
        <v>42604</v>
      </c>
    </row>
    <row r="27" spans="1:5" x14ac:dyDescent="0.45">
      <c r="A27" t="s">
        <v>99</v>
      </c>
      <c r="B27" t="s">
        <v>318</v>
      </c>
      <c r="C27">
        <v>41096</v>
      </c>
      <c r="D27">
        <v>125</v>
      </c>
      <c r="E27" s="9">
        <v>42403</v>
      </c>
    </row>
    <row r="28" spans="1:5" x14ac:dyDescent="0.45">
      <c r="A28" t="s">
        <v>99</v>
      </c>
      <c r="B28" t="s">
        <v>318</v>
      </c>
      <c r="C28">
        <v>32263</v>
      </c>
      <c r="D28">
        <v>125</v>
      </c>
      <c r="E28" s="9">
        <v>42312</v>
      </c>
    </row>
    <row r="29" spans="1:5" x14ac:dyDescent="0.45">
      <c r="A29" t="s">
        <v>99</v>
      </c>
      <c r="B29" t="s">
        <v>318</v>
      </c>
      <c r="C29">
        <v>28706</v>
      </c>
      <c r="D29">
        <v>125</v>
      </c>
      <c r="E29" s="9">
        <v>42277</v>
      </c>
    </row>
    <row r="30" spans="1:5" x14ac:dyDescent="0.45">
      <c r="A30" t="s">
        <v>99</v>
      </c>
      <c r="B30" t="s">
        <v>318</v>
      </c>
      <c r="C30">
        <v>23655</v>
      </c>
      <c r="D30">
        <v>125</v>
      </c>
      <c r="E30" s="9">
        <v>42213</v>
      </c>
    </row>
    <row r="31" spans="1:5" x14ac:dyDescent="0.45">
      <c r="A31" t="s">
        <v>99</v>
      </c>
      <c r="B31" t="s">
        <v>318</v>
      </c>
      <c r="C31">
        <v>21584</v>
      </c>
      <c r="D31">
        <v>500</v>
      </c>
      <c r="E31" s="9">
        <v>42090</v>
      </c>
    </row>
    <row r="32" spans="1:5" x14ac:dyDescent="0.45">
      <c r="A32" t="s">
        <v>99</v>
      </c>
      <c r="B32" t="s">
        <v>318</v>
      </c>
      <c r="C32">
        <v>19052</v>
      </c>
      <c r="D32">
        <v>125</v>
      </c>
      <c r="E32" s="9">
        <v>42062</v>
      </c>
    </row>
    <row r="33" spans="1:5" x14ac:dyDescent="0.45">
      <c r="A33" t="s">
        <v>99</v>
      </c>
      <c r="B33" t="s">
        <v>318</v>
      </c>
      <c r="C33">
        <v>0</v>
      </c>
      <c r="D33">
        <v>125</v>
      </c>
      <c r="E33" s="9">
        <v>42005</v>
      </c>
    </row>
    <row r="34" spans="1:5" x14ac:dyDescent="0.45">
      <c r="A34" t="s">
        <v>99</v>
      </c>
      <c r="B34" t="s">
        <v>318</v>
      </c>
      <c r="C34">
        <v>13099</v>
      </c>
      <c r="D34">
        <v>125</v>
      </c>
      <c r="E34" s="9">
        <v>41984</v>
      </c>
    </row>
    <row r="35" spans="1:5" x14ac:dyDescent="0.45">
      <c r="A35" t="s">
        <v>99</v>
      </c>
      <c r="B35" t="s">
        <v>318</v>
      </c>
      <c r="C35">
        <v>8702</v>
      </c>
      <c r="D35">
        <v>125</v>
      </c>
      <c r="E35" s="9">
        <v>41927</v>
      </c>
    </row>
    <row r="36" spans="1:5" x14ac:dyDescent="0.45">
      <c r="A36" t="s">
        <v>99</v>
      </c>
      <c r="B36" t="s">
        <v>318</v>
      </c>
      <c r="C36">
        <v>3781</v>
      </c>
      <c r="D36">
        <v>125</v>
      </c>
      <c r="E36" s="9">
        <v>41857</v>
      </c>
    </row>
    <row r="37" spans="1:5" x14ac:dyDescent="0.45">
      <c r="A37" t="s">
        <v>100</v>
      </c>
      <c r="B37" t="s">
        <v>343</v>
      </c>
      <c r="C37" s="14">
        <v>175000</v>
      </c>
      <c r="D37">
        <v>125</v>
      </c>
      <c r="E37" s="9">
        <v>44203</v>
      </c>
    </row>
    <row r="38" spans="1:5" x14ac:dyDescent="0.45">
      <c r="A38" t="s">
        <v>100</v>
      </c>
      <c r="B38" t="s">
        <v>343</v>
      </c>
      <c r="C38">
        <v>171875</v>
      </c>
      <c r="D38">
        <v>3200</v>
      </c>
      <c r="E38" s="9">
        <v>44131</v>
      </c>
    </row>
    <row r="39" spans="1:5" x14ac:dyDescent="0.45">
      <c r="A39" t="s">
        <v>100</v>
      </c>
      <c r="B39" t="s">
        <v>343</v>
      </c>
      <c r="C39">
        <v>178290</v>
      </c>
      <c r="D39">
        <v>1205.3900000000001</v>
      </c>
      <c r="E39" s="9">
        <v>44098</v>
      </c>
    </row>
    <row r="40" spans="1:5" x14ac:dyDescent="0.45">
      <c r="A40" t="s">
        <v>100</v>
      </c>
      <c r="B40" t="s">
        <v>343</v>
      </c>
      <c r="C40">
        <v>169056</v>
      </c>
      <c r="D40">
        <v>798.88</v>
      </c>
      <c r="E40" s="9">
        <v>43977</v>
      </c>
    </row>
    <row r="41" spans="1:5" x14ac:dyDescent="0.45">
      <c r="A41" t="s">
        <v>100</v>
      </c>
      <c r="B41" t="s">
        <v>343</v>
      </c>
      <c r="C41">
        <v>158766</v>
      </c>
      <c r="D41">
        <v>72.3</v>
      </c>
      <c r="E41" s="9">
        <v>43817</v>
      </c>
    </row>
    <row r="42" spans="1:5" x14ac:dyDescent="0.45">
      <c r="A42" t="s">
        <v>100</v>
      </c>
      <c r="B42" t="s">
        <v>343</v>
      </c>
      <c r="C42">
        <v>151306</v>
      </c>
      <c r="D42">
        <v>74.58</v>
      </c>
      <c r="E42" s="9">
        <v>43717</v>
      </c>
    </row>
    <row r="43" spans="1:5" x14ac:dyDescent="0.45">
      <c r="A43" t="s">
        <v>100</v>
      </c>
      <c r="B43" t="s">
        <v>343</v>
      </c>
      <c r="C43">
        <v>138863</v>
      </c>
      <c r="D43">
        <v>123.58</v>
      </c>
      <c r="E43" s="9">
        <v>43609</v>
      </c>
    </row>
    <row r="44" spans="1:5" x14ac:dyDescent="0.45">
      <c r="A44" t="s">
        <v>100</v>
      </c>
      <c r="B44" t="s">
        <v>343</v>
      </c>
      <c r="C44">
        <v>138863</v>
      </c>
      <c r="D44">
        <v>123.58</v>
      </c>
      <c r="E44" s="9">
        <v>43558</v>
      </c>
    </row>
    <row r="45" spans="1:5" x14ac:dyDescent="0.45">
      <c r="A45" t="s">
        <v>100</v>
      </c>
      <c r="B45" t="s">
        <v>343</v>
      </c>
      <c r="C45">
        <v>129066</v>
      </c>
      <c r="D45">
        <v>794.96</v>
      </c>
      <c r="E45" s="9">
        <v>43411</v>
      </c>
    </row>
    <row r="46" spans="1:5" x14ac:dyDescent="0.45">
      <c r="A46" t="s">
        <v>100</v>
      </c>
      <c r="B46" t="s">
        <v>343</v>
      </c>
      <c r="C46">
        <v>118789</v>
      </c>
      <c r="D46">
        <v>100</v>
      </c>
      <c r="E46" s="9">
        <v>43238</v>
      </c>
    </row>
    <row r="47" spans="1:5" x14ac:dyDescent="0.45">
      <c r="A47" t="s">
        <v>100</v>
      </c>
      <c r="B47" t="s">
        <v>343</v>
      </c>
      <c r="C47">
        <v>109690</v>
      </c>
      <c r="D47">
        <v>330</v>
      </c>
      <c r="E47" s="9">
        <v>43130</v>
      </c>
    </row>
    <row r="48" spans="1:5" x14ac:dyDescent="0.45">
      <c r="A48" t="s">
        <v>100</v>
      </c>
      <c r="B48" t="s">
        <v>343</v>
      </c>
      <c r="C48" s="14">
        <v>90000</v>
      </c>
      <c r="D48">
        <v>125</v>
      </c>
      <c r="E48" s="9">
        <v>42950</v>
      </c>
    </row>
    <row r="49" spans="1:5" x14ac:dyDescent="0.45">
      <c r="A49" t="s">
        <v>100</v>
      </c>
      <c r="B49" t="s">
        <v>343</v>
      </c>
      <c r="C49" s="14">
        <v>80000</v>
      </c>
      <c r="D49">
        <v>225</v>
      </c>
      <c r="E49" s="9">
        <v>42710</v>
      </c>
    </row>
    <row r="50" spans="1:5" x14ac:dyDescent="0.45">
      <c r="A50" t="s">
        <v>100</v>
      </c>
      <c r="B50" t="s">
        <v>343</v>
      </c>
      <c r="C50">
        <v>76779</v>
      </c>
      <c r="D50">
        <v>125</v>
      </c>
      <c r="E50" s="9">
        <v>42697</v>
      </c>
    </row>
    <row r="51" spans="1:5" x14ac:dyDescent="0.45">
      <c r="A51" t="s">
        <v>100</v>
      </c>
      <c r="B51" t="s">
        <v>343</v>
      </c>
      <c r="C51" s="14">
        <v>70000</v>
      </c>
      <c r="D51">
        <v>125</v>
      </c>
      <c r="E51" s="9">
        <v>42585</v>
      </c>
    </row>
    <row r="52" spans="1:5" x14ac:dyDescent="0.45">
      <c r="A52" t="s">
        <v>100</v>
      </c>
      <c r="B52" t="s">
        <v>343</v>
      </c>
      <c r="C52" s="14">
        <v>60000</v>
      </c>
      <c r="D52">
        <v>125</v>
      </c>
      <c r="E52" s="9">
        <v>42445</v>
      </c>
    </row>
    <row r="53" spans="1:5" x14ac:dyDescent="0.45">
      <c r="A53" t="s">
        <v>100</v>
      </c>
      <c r="B53" t="s">
        <v>343</v>
      </c>
      <c r="C53">
        <v>53901</v>
      </c>
      <c r="D53">
        <v>125</v>
      </c>
      <c r="E53" s="9">
        <v>42424</v>
      </c>
    </row>
    <row r="54" spans="1:5" x14ac:dyDescent="0.45">
      <c r="A54" t="s">
        <v>100</v>
      </c>
      <c r="B54" t="s">
        <v>343</v>
      </c>
      <c r="C54">
        <v>42401</v>
      </c>
      <c r="D54">
        <v>20</v>
      </c>
      <c r="E54" s="9">
        <v>42277</v>
      </c>
    </row>
    <row r="55" spans="1:5" x14ac:dyDescent="0.45">
      <c r="A55" t="s">
        <v>100</v>
      </c>
      <c r="B55" t="s">
        <v>343</v>
      </c>
      <c r="C55">
        <v>37243</v>
      </c>
      <c r="D55">
        <v>125</v>
      </c>
      <c r="E55" s="9">
        <v>42213</v>
      </c>
    </row>
    <row r="56" spans="1:5" x14ac:dyDescent="0.45">
      <c r="A56" t="s">
        <v>100</v>
      </c>
      <c r="B56" t="s">
        <v>343</v>
      </c>
      <c r="C56">
        <v>29353</v>
      </c>
      <c r="D56">
        <v>125</v>
      </c>
      <c r="E56" s="9">
        <v>42137</v>
      </c>
    </row>
    <row r="57" spans="1:5" x14ac:dyDescent="0.45">
      <c r="A57" t="s">
        <v>100</v>
      </c>
      <c r="B57" t="s">
        <v>343</v>
      </c>
      <c r="C57">
        <v>18972</v>
      </c>
      <c r="D57">
        <v>125</v>
      </c>
      <c r="E57" s="9">
        <v>42039</v>
      </c>
    </row>
    <row r="58" spans="1:5" x14ac:dyDescent="0.45">
      <c r="A58" t="s">
        <v>100</v>
      </c>
      <c r="B58" t="s">
        <v>343</v>
      </c>
      <c r="C58">
        <v>0</v>
      </c>
      <c r="D58">
        <v>125</v>
      </c>
      <c r="E58" s="9">
        <v>42005</v>
      </c>
    </row>
    <row r="59" spans="1:5" x14ac:dyDescent="0.45">
      <c r="A59" t="s">
        <v>101</v>
      </c>
      <c r="B59" t="s">
        <v>351</v>
      </c>
      <c r="C59">
        <v>189261</v>
      </c>
      <c r="D59">
        <v>79.06</v>
      </c>
      <c r="E59" s="9">
        <v>44067</v>
      </c>
    </row>
    <row r="60" spans="1:5" x14ac:dyDescent="0.45">
      <c r="A60" t="s">
        <v>101</v>
      </c>
      <c r="B60" t="s">
        <v>351</v>
      </c>
      <c r="C60">
        <v>180403</v>
      </c>
      <c r="D60">
        <v>65.930000000000007</v>
      </c>
      <c r="E60" s="9">
        <v>43810</v>
      </c>
    </row>
    <row r="61" spans="1:5" x14ac:dyDescent="0.45">
      <c r="A61" t="s">
        <v>101</v>
      </c>
      <c r="B61" t="s">
        <v>351</v>
      </c>
      <c r="C61">
        <v>1789617</v>
      </c>
      <c r="D61">
        <v>77.69</v>
      </c>
      <c r="E61" s="9">
        <v>43780</v>
      </c>
    </row>
    <row r="62" spans="1:5" x14ac:dyDescent="0.45">
      <c r="A62" t="s">
        <v>101</v>
      </c>
      <c r="B62" t="s">
        <v>351</v>
      </c>
      <c r="C62">
        <v>170808</v>
      </c>
      <c r="D62">
        <v>589.4</v>
      </c>
      <c r="E62" s="9">
        <v>43643</v>
      </c>
    </row>
    <row r="63" spans="1:5" x14ac:dyDescent="0.45">
      <c r="A63" t="s">
        <v>101</v>
      </c>
      <c r="B63" t="s">
        <v>351</v>
      </c>
      <c r="C63">
        <v>162978</v>
      </c>
      <c r="D63">
        <v>2127.7800000000002</v>
      </c>
      <c r="E63" s="9">
        <v>43517</v>
      </c>
    </row>
    <row r="64" spans="1:5" x14ac:dyDescent="0.45">
      <c r="A64" t="s">
        <v>101</v>
      </c>
      <c r="B64" t="s">
        <v>351</v>
      </c>
      <c r="C64">
        <v>118541</v>
      </c>
      <c r="D64">
        <v>124.52</v>
      </c>
      <c r="E64" s="9">
        <v>43448</v>
      </c>
    </row>
    <row r="65" spans="1:5" x14ac:dyDescent="0.45">
      <c r="A65" t="s">
        <v>101</v>
      </c>
      <c r="B65" t="s">
        <v>351</v>
      </c>
      <c r="C65">
        <v>0</v>
      </c>
      <c r="D65">
        <v>268.33</v>
      </c>
      <c r="E65" s="9">
        <v>43347</v>
      </c>
    </row>
    <row r="66" spans="1:5" x14ac:dyDescent="0.45">
      <c r="A66" t="s">
        <v>101</v>
      </c>
      <c r="B66" t="s">
        <v>351</v>
      </c>
      <c r="C66">
        <v>150196</v>
      </c>
      <c r="D66">
        <v>96.19</v>
      </c>
      <c r="E66" s="9">
        <v>43329</v>
      </c>
    </row>
    <row r="67" spans="1:5" x14ac:dyDescent="0.45">
      <c r="A67" t="s">
        <v>101</v>
      </c>
      <c r="B67" t="s">
        <v>351</v>
      </c>
      <c r="C67">
        <v>148027</v>
      </c>
      <c r="D67">
        <v>125</v>
      </c>
      <c r="E67" s="9">
        <v>43301</v>
      </c>
    </row>
    <row r="68" spans="1:5" x14ac:dyDescent="0.45">
      <c r="A68" t="s">
        <v>101</v>
      </c>
      <c r="B68" t="s">
        <v>351</v>
      </c>
      <c r="C68">
        <v>136432</v>
      </c>
      <c r="D68">
        <v>237</v>
      </c>
      <c r="E68" s="9">
        <v>43143</v>
      </c>
    </row>
    <row r="69" spans="1:5" x14ac:dyDescent="0.45">
      <c r="A69" t="s">
        <v>101</v>
      </c>
      <c r="B69" t="s">
        <v>351</v>
      </c>
      <c r="C69">
        <v>130095</v>
      </c>
      <c r="D69">
        <v>20</v>
      </c>
      <c r="E69" s="9">
        <v>43056</v>
      </c>
    </row>
    <row r="70" spans="1:5" x14ac:dyDescent="0.45">
      <c r="A70" t="s">
        <v>101</v>
      </c>
      <c r="B70" t="s">
        <v>351</v>
      </c>
      <c r="C70">
        <v>127769</v>
      </c>
      <c r="D70">
        <v>125</v>
      </c>
      <c r="E70" s="9">
        <v>43026</v>
      </c>
    </row>
    <row r="71" spans="1:5" x14ac:dyDescent="0.45">
      <c r="A71" t="s">
        <v>101</v>
      </c>
      <c r="B71" t="s">
        <v>351</v>
      </c>
      <c r="C71">
        <v>124256</v>
      </c>
      <c r="D71">
        <v>2600</v>
      </c>
      <c r="E71" s="9">
        <v>42979</v>
      </c>
    </row>
    <row r="72" spans="1:5" x14ac:dyDescent="0.45">
      <c r="A72" t="s">
        <v>101</v>
      </c>
      <c r="B72" t="s">
        <v>351</v>
      </c>
      <c r="C72">
        <v>117606</v>
      </c>
      <c r="D72">
        <v>413.04</v>
      </c>
      <c r="E72" s="9">
        <v>42892</v>
      </c>
    </row>
    <row r="73" spans="1:5" x14ac:dyDescent="0.45">
      <c r="A73" t="s">
        <v>101</v>
      </c>
      <c r="B73" t="s">
        <v>351</v>
      </c>
      <c r="C73">
        <v>109015</v>
      </c>
      <c r="D73">
        <v>125</v>
      </c>
      <c r="E73" s="9">
        <v>42761</v>
      </c>
    </row>
    <row r="74" spans="1:5" x14ac:dyDescent="0.45">
      <c r="A74" t="s">
        <v>101</v>
      </c>
      <c r="B74" t="s">
        <v>351</v>
      </c>
      <c r="C74">
        <v>101277</v>
      </c>
      <c r="D74">
        <v>20</v>
      </c>
      <c r="E74" s="9">
        <v>42664</v>
      </c>
    </row>
    <row r="75" spans="1:5" x14ac:dyDescent="0.45">
      <c r="A75" t="s">
        <v>101</v>
      </c>
      <c r="B75" t="s">
        <v>351</v>
      </c>
      <c r="C75">
        <v>94343</v>
      </c>
      <c r="D75">
        <v>125</v>
      </c>
      <c r="E75" s="9">
        <v>42585</v>
      </c>
    </row>
    <row r="76" spans="1:5" x14ac:dyDescent="0.45">
      <c r="A76" t="s">
        <v>101</v>
      </c>
      <c r="B76" t="s">
        <v>351</v>
      </c>
      <c r="C76">
        <v>90571</v>
      </c>
      <c r="D76">
        <v>205</v>
      </c>
      <c r="E76" s="9">
        <v>42213</v>
      </c>
    </row>
    <row r="77" spans="1:5" x14ac:dyDescent="0.45">
      <c r="A77" t="s">
        <v>101</v>
      </c>
      <c r="B77" t="s">
        <v>351</v>
      </c>
      <c r="C77">
        <v>88014</v>
      </c>
      <c r="D77">
        <v>125</v>
      </c>
      <c r="E77" s="9">
        <v>42185</v>
      </c>
    </row>
    <row r="78" spans="1:5" x14ac:dyDescent="0.45">
      <c r="A78" t="s">
        <v>101</v>
      </c>
      <c r="B78" t="s">
        <v>351</v>
      </c>
      <c r="C78">
        <v>80922</v>
      </c>
      <c r="D78">
        <v>100</v>
      </c>
      <c r="E78" s="9">
        <v>42118</v>
      </c>
    </row>
    <row r="79" spans="1:5" x14ac:dyDescent="0.45">
      <c r="A79" t="s">
        <v>101</v>
      </c>
      <c r="B79" t="s">
        <v>351</v>
      </c>
      <c r="C79">
        <v>0</v>
      </c>
      <c r="D79">
        <v>125</v>
      </c>
      <c r="E79" s="9">
        <v>42005</v>
      </c>
    </row>
    <row r="80" spans="1:5" x14ac:dyDescent="0.45">
      <c r="A80" t="s">
        <v>101</v>
      </c>
      <c r="B80" t="s">
        <v>351</v>
      </c>
      <c r="C80">
        <v>0</v>
      </c>
      <c r="D80">
        <v>125</v>
      </c>
      <c r="E80" s="9">
        <v>41934</v>
      </c>
    </row>
    <row r="81" spans="1:5" x14ac:dyDescent="0.45">
      <c r="A81" t="s">
        <v>101</v>
      </c>
      <c r="B81" t="s">
        <v>351</v>
      </c>
      <c r="C81">
        <v>77635</v>
      </c>
      <c r="D81">
        <v>100</v>
      </c>
      <c r="E81" s="9">
        <v>41921</v>
      </c>
    </row>
    <row r="82" spans="1:5" x14ac:dyDescent="0.45">
      <c r="A82" t="s">
        <v>101</v>
      </c>
      <c r="B82" t="s">
        <v>351</v>
      </c>
      <c r="C82">
        <v>69903</v>
      </c>
      <c r="D82">
        <v>125</v>
      </c>
      <c r="E82" s="9">
        <v>41787</v>
      </c>
    </row>
    <row r="83" spans="1:5" x14ac:dyDescent="0.45">
      <c r="A83" t="s">
        <v>101</v>
      </c>
      <c r="B83" t="s">
        <v>351</v>
      </c>
      <c r="C83">
        <v>67148</v>
      </c>
      <c r="D83">
        <v>300</v>
      </c>
      <c r="E83" s="9">
        <v>41745</v>
      </c>
    </row>
    <row r="84" spans="1:5" x14ac:dyDescent="0.45">
      <c r="A84" t="s">
        <v>101</v>
      </c>
      <c r="B84" t="s">
        <v>351</v>
      </c>
      <c r="C84">
        <v>65692</v>
      </c>
      <c r="D84">
        <v>125</v>
      </c>
      <c r="E84" s="9">
        <v>41725</v>
      </c>
    </row>
    <row r="85" spans="1:5" x14ac:dyDescent="0.45">
      <c r="A85" t="s">
        <v>101</v>
      </c>
      <c r="B85" t="s">
        <v>351</v>
      </c>
      <c r="C85">
        <v>58181</v>
      </c>
      <c r="D85">
        <v>125</v>
      </c>
      <c r="E85" s="9">
        <v>41627</v>
      </c>
    </row>
    <row r="86" spans="1:5" x14ac:dyDescent="0.45">
      <c r="A86" t="s">
        <v>101</v>
      </c>
      <c r="B86" t="s">
        <v>351</v>
      </c>
      <c r="C86">
        <v>52594</v>
      </c>
      <c r="D86">
        <v>125</v>
      </c>
      <c r="E86" s="9">
        <v>41570</v>
      </c>
    </row>
    <row r="87" spans="1:5" x14ac:dyDescent="0.45">
      <c r="A87" t="s">
        <v>101</v>
      </c>
      <c r="B87" t="s">
        <v>351</v>
      </c>
      <c r="C87">
        <v>50181</v>
      </c>
      <c r="D87">
        <v>0</v>
      </c>
      <c r="E87" s="9">
        <v>41543</v>
      </c>
    </row>
    <row r="88" spans="1:5" x14ac:dyDescent="0.45">
      <c r="A88" t="s">
        <v>101</v>
      </c>
      <c r="B88" t="s">
        <v>351</v>
      </c>
      <c r="C88">
        <v>48216</v>
      </c>
      <c r="D88">
        <v>125</v>
      </c>
      <c r="E88" s="9">
        <v>41522</v>
      </c>
    </row>
    <row r="89" spans="1:5" x14ac:dyDescent="0.45">
      <c r="A89" t="s">
        <v>101</v>
      </c>
      <c r="B89" t="s">
        <v>351</v>
      </c>
      <c r="C89">
        <v>44623</v>
      </c>
      <c r="D89">
        <v>125</v>
      </c>
      <c r="E89" s="9">
        <v>41480</v>
      </c>
    </row>
    <row r="90" spans="1:5" x14ac:dyDescent="0.45">
      <c r="A90" t="s">
        <v>101</v>
      </c>
      <c r="B90" t="s">
        <v>351</v>
      </c>
      <c r="C90">
        <v>37699</v>
      </c>
      <c r="D90">
        <v>125</v>
      </c>
      <c r="E90" s="9">
        <v>41401</v>
      </c>
    </row>
    <row r="91" spans="1:5" x14ac:dyDescent="0.45">
      <c r="A91" t="s">
        <v>101</v>
      </c>
      <c r="B91" t="s">
        <v>351</v>
      </c>
      <c r="C91">
        <v>34458</v>
      </c>
      <c r="D91">
        <v>125</v>
      </c>
      <c r="E91" s="9">
        <v>41367</v>
      </c>
    </row>
    <row r="92" spans="1:5" x14ac:dyDescent="0.45">
      <c r="A92" t="s">
        <v>101</v>
      </c>
      <c r="B92" t="s">
        <v>351</v>
      </c>
      <c r="C92">
        <v>28444</v>
      </c>
      <c r="D92">
        <v>125</v>
      </c>
      <c r="E92" s="9">
        <v>41298</v>
      </c>
    </row>
    <row r="93" spans="1:5" x14ac:dyDescent="0.45">
      <c r="A93" t="s">
        <v>101</v>
      </c>
      <c r="B93" t="s">
        <v>351</v>
      </c>
      <c r="C93">
        <v>19409</v>
      </c>
      <c r="D93">
        <v>125</v>
      </c>
      <c r="E93" s="9">
        <v>41183</v>
      </c>
    </row>
    <row r="94" spans="1:5" x14ac:dyDescent="0.45">
      <c r="A94" t="s">
        <v>101</v>
      </c>
      <c r="B94" t="s">
        <v>351</v>
      </c>
      <c r="C94">
        <v>18248</v>
      </c>
      <c r="D94">
        <v>1400</v>
      </c>
      <c r="E94" s="9">
        <v>41150</v>
      </c>
    </row>
    <row r="95" spans="1:5" x14ac:dyDescent="0.45">
      <c r="A95" t="s">
        <v>102</v>
      </c>
      <c r="B95" t="s">
        <v>365</v>
      </c>
      <c r="C95">
        <v>122157</v>
      </c>
      <c r="D95">
        <v>98.21</v>
      </c>
      <c r="E95" s="9">
        <v>43990</v>
      </c>
    </row>
    <row r="96" spans="1:5" x14ac:dyDescent="0.45">
      <c r="A96" t="s">
        <v>102</v>
      </c>
      <c r="B96" t="s">
        <v>365</v>
      </c>
      <c r="C96">
        <v>117241</v>
      </c>
      <c r="D96">
        <v>201.99</v>
      </c>
      <c r="E96" s="9">
        <v>43897</v>
      </c>
    </row>
    <row r="97" spans="1:5" x14ac:dyDescent="0.45">
      <c r="A97" t="s">
        <v>102</v>
      </c>
      <c r="B97" t="s">
        <v>365</v>
      </c>
      <c r="C97">
        <v>114733</v>
      </c>
      <c r="D97">
        <v>119.92</v>
      </c>
      <c r="E97" s="9">
        <v>43861</v>
      </c>
    </row>
    <row r="98" spans="1:5" x14ac:dyDescent="0.45">
      <c r="A98" t="s">
        <v>102</v>
      </c>
      <c r="B98" t="s">
        <v>365</v>
      </c>
      <c r="C98">
        <v>108417</v>
      </c>
      <c r="D98">
        <v>77.88</v>
      </c>
      <c r="E98" s="9">
        <v>43740</v>
      </c>
    </row>
    <row r="99" spans="1:5" x14ac:dyDescent="0.45">
      <c r="A99" t="s">
        <v>102</v>
      </c>
      <c r="B99" t="s">
        <v>365</v>
      </c>
      <c r="C99">
        <v>99623</v>
      </c>
      <c r="D99">
        <v>97.46</v>
      </c>
      <c r="E99" s="9">
        <v>43558</v>
      </c>
    </row>
    <row r="100" spans="1:5" x14ac:dyDescent="0.45">
      <c r="A100" t="s">
        <v>102</v>
      </c>
      <c r="B100" t="s">
        <v>365</v>
      </c>
      <c r="C100">
        <v>94417</v>
      </c>
      <c r="D100">
        <v>120.27</v>
      </c>
      <c r="E100" s="9">
        <v>43474</v>
      </c>
    </row>
    <row r="101" spans="1:5" x14ac:dyDescent="0.45">
      <c r="A101" t="s">
        <v>102</v>
      </c>
      <c r="B101" t="s">
        <v>365</v>
      </c>
      <c r="C101">
        <v>87782</v>
      </c>
      <c r="D101">
        <v>870.58</v>
      </c>
      <c r="E101" s="9">
        <v>43336</v>
      </c>
    </row>
    <row r="102" spans="1:5" x14ac:dyDescent="0.45">
      <c r="A102" t="s">
        <v>102</v>
      </c>
      <c r="B102" t="s">
        <v>365</v>
      </c>
      <c r="C102">
        <v>82486</v>
      </c>
      <c r="D102">
        <v>0</v>
      </c>
      <c r="E102" s="9">
        <v>43235</v>
      </c>
    </row>
    <row r="103" spans="1:5" x14ac:dyDescent="0.45">
      <c r="A103" t="s">
        <v>102</v>
      </c>
      <c r="B103" t="s">
        <v>365</v>
      </c>
      <c r="C103">
        <v>80000</v>
      </c>
      <c r="D103">
        <v>20</v>
      </c>
      <c r="E103" s="9">
        <v>43186</v>
      </c>
    </row>
    <row r="104" spans="1:5" x14ac:dyDescent="0.45">
      <c r="A104" t="s">
        <v>102</v>
      </c>
      <c r="B104" t="s">
        <v>365</v>
      </c>
      <c r="C104">
        <v>78943</v>
      </c>
      <c r="D104">
        <v>614</v>
      </c>
      <c r="E104" s="9">
        <v>43166</v>
      </c>
    </row>
    <row r="105" spans="1:5" x14ac:dyDescent="0.45">
      <c r="A105" t="s">
        <v>102</v>
      </c>
      <c r="B105" t="s">
        <v>365</v>
      </c>
      <c r="C105">
        <v>77013</v>
      </c>
      <c r="D105">
        <v>275</v>
      </c>
      <c r="E105" s="9">
        <v>43136</v>
      </c>
    </row>
    <row r="106" spans="1:5" x14ac:dyDescent="0.45">
      <c r="A106" t="s">
        <v>102</v>
      </c>
      <c r="B106" t="s">
        <v>365</v>
      </c>
      <c r="C106">
        <v>74809</v>
      </c>
      <c r="D106">
        <v>160</v>
      </c>
      <c r="E106" s="9">
        <v>43099</v>
      </c>
    </row>
    <row r="107" spans="1:5" x14ac:dyDescent="0.45">
      <c r="A107" t="s">
        <v>102</v>
      </c>
      <c r="B107" t="s">
        <v>365</v>
      </c>
      <c r="C107">
        <v>0</v>
      </c>
      <c r="D107">
        <v>125</v>
      </c>
      <c r="E107" s="9">
        <v>42998</v>
      </c>
    </row>
    <row r="108" spans="1:5" x14ac:dyDescent="0.45">
      <c r="A108" t="s">
        <v>102</v>
      </c>
      <c r="B108" t="s">
        <v>365</v>
      </c>
      <c r="C108">
        <v>63571</v>
      </c>
      <c r="D108">
        <v>125</v>
      </c>
      <c r="E108" s="9">
        <v>42900</v>
      </c>
    </row>
    <row r="109" spans="1:5" x14ac:dyDescent="0.45">
      <c r="A109" t="s">
        <v>102</v>
      </c>
      <c r="B109" t="s">
        <v>365</v>
      </c>
      <c r="C109">
        <v>62232</v>
      </c>
      <c r="D109">
        <v>0</v>
      </c>
      <c r="E109" s="9">
        <v>42874</v>
      </c>
    </row>
    <row r="110" spans="1:5" x14ac:dyDescent="0.45">
      <c r="A110" t="s">
        <v>102</v>
      </c>
      <c r="B110" t="s">
        <v>365</v>
      </c>
      <c r="C110">
        <v>57632</v>
      </c>
      <c r="D110">
        <v>125</v>
      </c>
      <c r="E110" s="9">
        <v>42774</v>
      </c>
    </row>
    <row r="111" spans="1:5" x14ac:dyDescent="0.45">
      <c r="A111" t="s">
        <v>102</v>
      </c>
      <c r="B111" t="s">
        <v>365</v>
      </c>
      <c r="C111">
        <v>43919</v>
      </c>
      <c r="D111">
        <v>125</v>
      </c>
      <c r="E111" s="9">
        <v>42543</v>
      </c>
    </row>
    <row r="112" spans="1:5" x14ac:dyDescent="0.45">
      <c r="A112" t="s">
        <v>102</v>
      </c>
      <c r="B112" t="s">
        <v>365</v>
      </c>
      <c r="C112">
        <v>40681</v>
      </c>
      <c r="D112">
        <v>0</v>
      </c>
      <c r="E112" s="9">
        <v>42494</v>
      </c>
    </row>
    <row r="113" spans="1:5" x14ac:dyDescent="0.45">
      <c r="A113" t="s">
        <v>102</v>
      </c>
      <c r="B113" t="s">
        <v>365</v>
      </c>
      <c r="C113">
        <v>38562</v>
      </c>
      <c r="D113">
        <v>125</v>
      </c>
      <c r="E113" s="9">
        <v>42459</v>
      </c>
    </row>
    <row r="114" spans="1:5" x14ac:dyDescent="0.45">
      <c r="A114" t="s">
        <v>102</v>
      </c>
      <c r="B114" t="s">
        <v>365</v>
      </c>
      <c r="C114">
        <v>33285</v>
      </c>
      <c r="D114">
        <v>125</v>
      </c>
      <c r="E114" s="9">
        <v>42368</v>
      </c>
    </row>
    <row r="115" spans="1:5" x14ac:dyDescent="0.45">
      <c r="A115" t="s">
        <v>102</v>
      </c>
      <c r="B115" t="s">
        <v>365</v>
      </c>
      <c r="C115">
        <v>28452</v>
      </c>
      <c r="D115">
        <v>125</v>
      </c>
      <c r="E115" s="9">
        <v>42284</v>
      </c>
    </row>
    <row r="116" spans="1:5" x14ac:dyDescent="0.45">
      <c r="A116" t="s">
        <v>102</v>
      </c>
      <c r="B116" t="s">
        <v>365</v>
      </c>
      <c r="C116">
        <v>25596</v>
      </c>
      <c r="D116">
        <v>125</v>
      </c>
      <c r="E116" s="9">
        <v>42238</v>
      </c>
    </row>
    <row r="117" spans="1:5" x14ac:dyDescent="0.45">
      <c r="A117" t="s">
        <v>102</v>
      </c>
      <c r="B117" t="s">
        <v>365</v>
      </c>
      <c r="C117">
        <v>22062</v>
      </c>
      <c r="D117">
        <v>20</v>
      </c>
      <c r="E117" s="9">
        <v>42186</v>
      </c>
    </row>
    <row r="118" spans="1:5" x14ac:dyDescent="0.45">
      <c r="A118" t="s">
        <v>102</v>
      </c>
      <c r="B118" t="s">
        <v>365</v>
      </c>
      <c r="C118">
        <v>21278</v>
      </c>
      <c r="D118">
        <v>125</v>
      </c>
      <c r="E118" s="9">
        <v>42179</v>
      </c>
    </row>
    <row r="119" spans="1:5" x14ac:dyDescent="0.45">
      <c r="A119" t="s">
        <v>102</v>
      </c>
      <c r="B119" t="s">
        <v>365</v>
      </c>
      <c r="C119">
        <v>15688</v>
      </c>
      <c r="D119">
        <v>125</v>
      </c>
      <c r="E119" s="9">
        <v>42101</v>
      </c>
    </row>
    <row r="120" spans="1:5" x14ac:dyDescent="0.45">
      <c r="A120" t="s">
        <v>102</v>
      </c>
      <c r="B120" t="s">
        <v>365</v>
      </c>
      <c r="C120">
        <v>11673</v>
      </c>
      <c r="D120">
        <v>125</v>
      </c>
      <c r="E120" s="9">
        <v>42039</v>
      </c>
    </row>
    <row r="121" spans="1:5" x14ac:dyDescent="0.45">
      <c r="A121" t="s">
        <v>102</v>
      </c>
      <c r="B121" t="s">
        <v>365</v>
      </c>
      <c r="C121">
        <v>0</v>
      </c>
      <c r="D121">
        <v>125</v>
      </c>
      <c r="E121" s="9">
        <v>42005</v>
      </c>
    </row>
    <row r="122" spans="1:5" x14ac:dyDescent="0.45">
      <c r="A122" t="s">
        <v>103</v>
      </c>
      <c r="B122" t="s">
        <v>369</v>
      </c>
      <c r="C122">
        <v>157225</v>
      </c>
      <c r="D122">
        <v>97.32</v>
      </c>
      <c r="E122" s="9">
        <v>44089</v>
      </c>
    </row>
    <row r="123" spans="1:5" x14ac:dyDescent="0.45">
      <c r="A123" t="s">
        <v>103</v>
      </c>
      <c r="B123" t="s">
        <v>369</v>
      </c>
      <c r="C123">
        <v>150912</v>
      </c>
      <c r="D123">
        <v>719.19</v>
      </c>
      <c r="E123" s="9">
        <v>43997</v>
      </c>
    </row>
    <row r="124" spans="1:5" x14ac:dyDescent="0.45">
      <c r="A124" t="s">
        <v>103</v>
      </c>
      <c r="B124" t="s">
        <v>369</v>
      </c>
      <c r="C124">
        <v>147526</v>
      </c>
      <c r="D124">
        <v>77.69</v>
      </c>
      <c r="E124" s="9">
        <v>43867</v>
      </c>
    </row>
    <row r="125" spans="1:5" x14ac:dyDescent="0.45">
      <c r="A125" t="s">
        <v>103</v>
      </c>
      <c r="B125" t="s">
        <v>369</v>
      </c>
      <c r="C125">
        <v>145209</v>
      </c>
      <c r="D125">
        <v>343.12</v>
      </c>
      <c r="E125" s="9">
        <v>43805</v>
      </c>
    </row>
    <row r="126" spans="1:5" x14ac:dyDescent="0.45">
      <c r="A126" t="s">
        <v>103</v>
      </c>
      <c r="B126" t="s">
        <v>369</v>
      </c>
      <c r="C126">
        <v>145071</v>
      </c>
      <c r="D126">
        <v>1483.68</v>
      </c>
      <c r="E126" s="9">
        <v>43801</v>
      </c>
    </row>
    <row r="127" spans="1:5" x14ac:dyDescent="0.45">
      <c r="A127" t="s">
        <v>103</v>
      </c>
      <c r="B127" t="s">
        <v>369</v>
      </c>
      <c r="C127">
        <v>144715</v>
      </c>
      <c r="D127">
        <v>272.14999999999998</v>
      </c>
      <c r="E127" s="9">
        <v>43740</v>
      </c>
    </row>
    <row r="128" spans="1:5" x14ac:dyDescent="0.45">
      <c r="A128" t="s">
        <v>103</v>
      </c>
      <c r="B128" t="s">
        <v>369</v>
      </c>
      <c r="C128">
        <v>142447</v>
      </c>
      <c r="D128">
        <v>87.71</v>
      </c>
      <c r="E128" s="9">
        <v>43714</v>
      </c>
    </row>
    <row r="129" spans="1:5" x14ac:dyDescent="0.45">
      <c r="A129" t="s">
        <v>103</v>
      </c>
      <c r="B129" t="s">
        <v>369</v>
      </c>
      <c r="C129">
        <v>138189</v>
      </c>
      <c r="D129">
        <v>1264.53</v>
      </c>
      <c r="E129" s="9">
        <v>43663</v>
      </c>
    </row>
    <row r="130" spans="1:5" x14ac:dyDescent="0.45">
      <c r="A130" t="s">
        <v>103</v>
      </c>
      <c r="B130" t="s">
        <v>369</v>
      </c>
      <c r="C130">
        <v>122380</v>
      </c>
      <c r="D130">
        <v>549.58000000000004</v>
      </c>
      <c r="E130" s="9">
        <v>43497</v>
      </c>
    </row>
    <row r="131" spans="1:5" x14ac:dyDescent="0.45">
      <c r="A131" t="s">
        <v>103</v>
      </c>
      <c r="B131" t="s">
        <v>369</v>
      </c>
      <c r="C131">
        <v>115418</v>
      </c>
      <c r="D131">
        <v>88.81</v>
      </c>
      <c r="E131" s="9">
        <v>43411</v>
      </c>
    </row>
    <row r="132" spans="1:5" x14ac:dyDescent="0.45">
      <c r="A132" t="s">
        <v>103</v>
      </c>
      <c r="B132" t="s">
        <v>369</v>
      </c>
      <c r="C132">
        <v>109267</v>
      </c>
      <c r="D132">
        <v>96.19</v>
      </c>
      <c r="E132" s="9">
        <v>43329</v>
      </c>
    </row>
    <row r="133" spans="1:5" x14ac:dyDescent="0.45">
      <c r="A133" t="s">
        <v>103</v>
      </c>
      <c r="B133" t="s">
        <v>369</v>
      </c>
      <c r="C133">
        <v>0</v>
      </c>
      <c r="D133">
        <v>125</v>
      </c>
      <c r="E133" s="9">
        <v>43251</v>
      </c>
    </row>
    <row r="134" spans="1:5" x14ac:dyDescent="0.45">
      <c r="A134" t="s">
        <v>103</v>
      </c>
      <c r="B134" t="s">
        <v>369</v>
      </c>
      <c r="C134">
        <v>100369</v>
      </c>
      <c r="D134">
        <v>125</v>
      </c>
      <c r="E134" s="9">
        <v>43228</v>
      </c>
    </row>
    <row r="135" spans="1:5" x14ac:dyDescent="0.45">
      <c r="A135" t="s">
        <v>103</v>
      </c>
      <c r="B135" t="s">
        <v>369</v>
      </c>
      <c r="C135">
        <v>0</v>
      </c>
      <c r="D135">
        <v>257</v>
      </c>
      <c r="E135" s="9">
        <v>43146</v>
      </c>
    </row>
    <row r="136" spans="1:5" x14ac:dyDescent="0.45">
      <c r="A136" t="s">
        <v>103</v>
      </c>
      <c r="B136" t="s">
        <v>369</v>
      </c>
      <c r="C136">
        <v>85078</v>
      </c>
      <c r="D136">
        <v>0</v>
      </c>
      <c r="E136" s="9">
        <v>42963</v>
      </c>
    </row>
    <row r="137" spans="1:5" x14ac:dyDescent="0.45">
      <c r="A137" t="s">
        <v>103</v>
      </c>
      <c r="B137" t="s">
        <v>369</v>
      </c>
      <c r="C137">
        <v>79960</v>
      </c>
      <c r="D137">
        <v>923.83</v>
      </c>
      <c r="E137" s="9">
        <v>42860</v>
      </c>
    </row>
    <row r="138" spans="1:5" x14ac:dyDescent="0.45">
      <c r="A138" t="s">
        <v>103</v>
      </c>
      <c r="B138" t="s">
        <v>369</v>
      </c>
      <c r="C138">
        <v>78000</v>
      </c>
      <c r="D138">
        <v>80</v>
      </c>
      <c r="E138" s="9">
        <v>42851</v>
      </c>
    </row>
    <row r="139" spans="1:5" x14ac:dyDescent="0.45">
      <c r="A139" t="s">
        <v>103</v>
      </c>
      <c r="B139" t="s">
        <v>369</v>
      </c>
      <c r="C139">
        <v>70198</v>
      </c>
      <c r="D139">
        <v>20</v>
      </c>
      <c r="E139" s="9">
        <v>42690</v>
      </c>
    </row>
    <row r="140" spans="1:5" x14ac:dyDescent="0.45">
      <c r="A140" t="s">
        <v>103</v>
      </c>
      <c r="B140" t="s">
        <v>369</v>
      </c>
      <c r="C140">
        <v>0</v>
      </c>
      <c r="D140">
        <v>0</v>
      </c>
      <c r="E140" s="9">
        <v>42614</v>
      </c>
    </row>
    <row r="141" spans="1:5" x14ac:dyDescent="0.45">
      <c r="A141" t="s">
        <v>103</v>
      </c>
      <c r="B141" t="s">
        <v>369</v>
      </c>
      <c r="C141">
        <v>65006</v>
      </c>
      <c r="D141">
        <v>0</v>
      </c>
      <c r="E141" s="9">
        <v>42614</v>
      </c>
    </row>
    <row r="142" spans="1:5" x14ac:dyDescent="0.45">
      <c r="A142" t="s">
        <v>103</v>
      </c>
      <c r="B142" t="s">
        <v>369</v>
      </c>
      <c r="C142">
        <v>63229</v>
      </c>
      <c r="D142">
        <v>125</v>
      </c>
      <c r="E142" s="9">
        <v>42592</v>
      </c>
    </row>
    <row r="143" spans="1:5" x14ac:dyDescent="0.45">
      <c r="A143" t="s">
        <v>103</v>
      </c>
      <c r="B143" t="s">
        <v>369</v>
      </c>
      <c r="C143">
        <v>59368</v>
      </c>
      <c r="D143">
        <v>125</v>
      </c>
      <c r="E143" s="9">
        <v>42543</v>
      </c>
    </row>
    <row r="144" spans="1:5" x14ac:dyDescent="0.45">
      <c r="A144" t="s">
        <v>103</v>
      </c>
      <c r="B144" t="s">
        <v>369</v>
      </c>
      <c r="C144">
        <v>49240</v>
      </c>
      <c r="D144">
        <v>125</v>
      </c>
      <c r="E144" s="9">
        <v>42382</v>
      </c>
    </row>
    <row r="145" spans="1:5" x14ac:dyDescent="0.45">
      <c r="A145" t="s">
        <v>103</v>
      </c>
      <c r="B145" t="s">
        <v>369</v>
      </c>
      <c r="C145">
        <v>44869</v>
      </c>
      <c r="D145">
        <v>0</v>
      </c>
      <c r="E145" s="9">
        <v>42318</v>
      </c>
    </row>
    <row r="146" spans="1:5" x14ac:dyDescent="0.45">
      <c r="A146" t="s">
        <v>103</v>
      </c>
      <c r="B146" t="s">
        <v>369</v>
      </c>
      <c r="C146">
        <v>44188</v>
      </c>
      <c r="D146">
        <v>125</v>
      </c>
      <c r="E146" s="9">
        <v>42306</v>
      </c>
    </row>
    <row r="147" spans="1:5" x14ac:dyDescent="0.45">
      <c r="A147" t="s">
        <v>103</v>
      </c>
      <c r="B147" t="s">
        <v>369</v>
      </c>
      <c r="C147">
        <v>35633</v>
      </c>
      <c r="D147">
        <v>225</v>
      </c>
      <c r="E147" s="9">
        <v>42111</v>
      </c>
    </row>
    <row r="148" spans="1:5" x14ac:dyDescent="0.45">
      <c r="A148" t="s">
        <v>103</v>
      </c>
      <c r="B148" t="s">
        <v>369</v>
      </c>
      <c r="C148">
        <v>0</v>
      </c>
      <c r="D148">
        <v>125</v>
      </c>
      <c r="E148" s="9">
        <v>42005</v>
      </c>
    </row>
    <row r="149" spans="1:5" x14ac:dyDescent="0.45">
      <c r="A149" t="s">
        <v>104</v>
      </c>
      <c r="B149" t="s">
        <v>374</v>
      </c>
      <c r="C149">
        <v>4193</v>
      </c>
      <c r="D149">
        <v>80</v>
      </c>
      <c r="E149" s="9">
        <v>42130</v>
      </c>
    </row>
    <row r="150" spans="1:5" x14ac:dyDescent="0.45">
      <c r="A150" t="s">
        <v>104</v>
      </c>
      <c r="B150" t="s">
        <v>374</v>
      </c>
      <c r="C150">
        <v>14586</v>
      </c>
      <c r="D150">
        <v>80</v>
      </c>
      <c r="E150" s="9">
        <v>42234</v>
      </c>
    </row>
    <row r="151" spans="1:5" x14ac:dyDescent="0.45">
      <c r="A151" t="s">
        <v>104</v>
      </c>
      <c r="B151" t="s">
        <v>374</v>
      </c>
      <c r="C151">
        <v>20109</v>
      </c>
      <c r="D151">
        <v>125</v>
      </c>
      <c r="E151" s="9">
        <v>42290</v>
      </c>
    </row>
    <row r="152" spans="1:5" x14ac:dyDescent="0.45">
      <c r="A152" t="s">
        <v>104</v>
      </c>
      <c r="B152" t="s">
        <v>374</v>
      </c>
      <c r="C152">
        <v>28085</v>
      </c>
      <c r="D152">
        <v>125</v>
      </c>
      <c r="E152" s="9">
        <v>42383</v>
      </c>
    </row>
    <row r="153" spans="1:5" x14ac:dyDescent="0.45">
      <c r="A153" t="s">
        <v>104</v>
      </c>
      <c r="B153" t="s">
        <v>374</v>
      </c>
      <c r="C153">
        <v>36834</v>
      </c>
      <c r="D153">
        <v>80</v>
      </c>
      <c r="E153" s="9">
        <v>42467</v>
      </c>
    </row>
    <row r="154" spans="1:5" x14ac:dyDescent="0.45">
      <c r="A154" t="s">
        <v>104</v>
      </c>
      <c r="B154" t="s">
        <v>374</v>
      </c>
      <c r="C154">
        <v>45842</v>
      </c>
      <c r="D154">
        <v>125</v>
      </c>
      <c r="E154" s="9">
        <v>42558</v>
      </c>
    </row>
    <row r="155" spans="1:5" x14ac:dyDescent="0.45">
      <c r="A155" t="s">
        <v>104</v>
      </c>
      <c r="B155" t="s">
        <v>374</v>
      </c>
      <c r="C155">
        <v>56204</v>
      </c>
      <c r="D155">
        <v>125</v>
      </c>
      <c r="E155" s="9">
        <v>42662</v>
      </c>
    </row>
    <row r="156" spans="1:5" x14ac:dyDescent="0.45">
      <c r="A156" t="s">
        <v>104</v>
      </c>
      <c r="B156" t="s">
        <v>374</v>
      </c>
      <c r="C156" t="s">
        <v>656</v>
      </c>
      <c r="D156">
        <v>40</v>
      </c>
      <c r="E156" s="9">
        <v>42693</v>
      </c>
    </row>
    <row r="157" spans="1:5" x14ac:dyDescent="0.45">
      <c r="A157" t="s">
        <v>104</v>
      </c>
      <c r="B157" t="s">
        <v>374</v>
      </c>
      <c r="C157">
        <v>60427</v>
      </c>
      <c r="D157">
        <v>100</v>
      </c>
      <c r="E157" s="9">
        <v>42710</v>
      </c>
    </row>
    <row r="158" spans="1:5" x14ac:dyDescent="0.45">
      <c r="A158" t="s">
        <v>104</v>
      </c>
      <c r="B158" t="s">
        <v>374</v>
      </c>
      <c r="C158" t="s">
        <v>656</v>
      </c>
      <c r="D158">
        <v>100</v>
      </c>
      <c r="E158" s="9">
        <v>42861</v>
      </c>
    </row>
    <row r="159" spans="1:5" x14ac:dyDescent="0.45">
      <c r="A159" t="s">
        <v>104</v>
      </c>
      <c r="B159" t="s">
        <v>374</v>
      </c>
      <c r="C159">
        <v>70272</v>
      </c>
      <c r="D159">
        <v>80</v>
      </c>
      <c r="E159" s="9">
        <v>42944</v>
      </c>
    </row>
    <row r="160" spans="1:5" x14ac:dyDescent="0.45">
      <c r="A160" t="s">
        <v>104</v>
      </c>
      <c r="B160" t="s">
        <v>374</v>
      </c>
      <c r="C160">
        <v>78485</v>
      </c>
      <c r="D160">
        <v>125</v>
      </c>
      <c r="E160" s="9">
        <v>43011</v>
      </c>
    </row>
    <row r="161" spans="1:5" x14ac:dyDescent="0.45">
      <c r="A161" t="s">
        <v>104</v>
      </c>
      <c r="B161" t="s">
        <v>374</v>
      </c>
      <c r="C161">
        <v>79044</v>
      </c>
      <c r="D161">
        <v>20</v>
      </c>
      <c r="E161" s="9">
        <v>43017</v>
      </c>
    </row>
    <row r="162" spans="1:5" x14ac:dyDescent="0.45">
      <c r="A162" t="s">
        <v>104</v>
      </c>
      <c r="B162" t="s">
        <v>374</v>
      </c>
      <c r="C162">
        <v>83061</v>
      </c>
      <c r="D162">
        <v>100</v>
      </c>
      <c r="E162" s="9">
        <v>43061</v>
      </c>
    </row>
    <row r="163" spans="1:5" x14ac:dyDescent="0.45">
      <c r="A163" t="s">
        <v>104</v>
      </c>
      <c r="B163" t="s">
        <v>374</v>
      </c>
      <c r="C163">
        <v>84838</v>
      </c>
      <c r="D163">
        <v>125</v>
      </c>
      <c r="E163" s="9">
        <v>43145</v>
      </c>
    </row>
    <row r="164" spans="1:5" x14ac:dyDescent="0.45">
      <c r="A164" t="s">
        <v>104</v>
      </c>
      <c r="B164" t="s">
        <v>374</v>
      </c>
      <c r="C164">
        <v>94074</v>
      </c>
      <c r="D164">
        <v>20</v>
      </c>
      <c r="E164" s="9">
        <v>43244</v>
      </c>
    </row>
    <row r="165" spans="1:5" x14ac:dyDescent="0.45">
      <c r="A165" t="s">
        <v>104</v>
      </c>
      <c r="B165" t="s">
        <v>374</v>
      </c>
      <c r="C165">
        <v>96758</v>
      </c>
      <c r="D165">
        <v>250</v>
      </c>
      <c r="E165" s="9">
        <v>43369</v>
      </c>
    </row>
    <row r="166" spans="1:5" x14ac:dyDescent="0.45">
      <c r="A166" t="s">
        <v>104</v>
      </c>
      <c r="B166" t="s">
        <v>374</v>
      </c>
      <c r="C166" t="s">
        <v>656</v>
      </c>
      <c r="D166">
        <v>100</v>
      </c>
      <c r="E166" s="9">
        <v>43433</v>
      </c>
    </row>
    <row r="167" spans="1:5" x14ac:dyDescent="0.45">
      <c r="A167" t="s">
        <v>104</v>
      </c>
      <c r="B167" t="s">
        <v>374</v>
      </c>
      <c r="C167">
        <v>101795</v>
      </c>
      <c r="D167">
        <v>20</v>
      </c>
      <c r="E167" s="9">
        <v>43433</v>
      </c>
    </row>
    <row r="168" spans="1:5" x14ac:dyDescent="0.45">
      <c r="A168" t="s">
        <v>104</v>
      </c>
      <c r="B168" t="s">
        <v>374</v>
      </c>
      <c r="C168">
        <v>110331</v>
      </c>
      <c r="D168">
        <v>80</v>
      </c>
      <c r="E168" s="9">
        <v>43530</v>
      </c>
    </row>
    <row r="169" spans="1:5" x14ac:dyDescent="0.45">
      <c r="A169" t="s">
        <v>104</v>
      </c>
      <c r="B169" t="s">
        <v>374</v>
      </c>
      <c r="C169">
        <v>116525</v>
      </c>
      <c r="D169">
        <v>80</v>
      </c>
      <c r="E169" s="9">
        <v>43593</v>
      </c>
    </row>
    <row r="170" spans="1:5" x14ac:dyDescent="0.45">
      <c r="A170" t="s">
        <v>104</v>
      </c>
      <c r="B170" t="s">
        <v>374</v>
      </c>
      <c r="C170" t="s">
        <v>656</v>
      </c>
      <c r="E170" s="9">
        <v>43627</v>
      </c>
    </row>
    <row r="171" spans="1:5" x14ac:dyDescent="0.45">
      <c r="A171" t="s">
        <v>104</v>
      </c>
      <c r="B171" t="s">
        <v>374</v>
      </c>
      <c r="C171">
        <v>126355</v>
      </c>
      <c r="D171">
        <v>125</v>
      </c>
      <c r="E171" s="9">
        <v>43733</v>
      </c>
    </row>
    <row r="172" spans="1:5" x14ac:dyDescent="0.45">
      <c r="A172" t="s">
        <v>104</v>
      </c>
      <c r="B172" t="s">
        <v>374</v>
      </c>
      <c r="C172">
        <v>134227</v>
      </c>
      <c r="D172">
        <v>125</v>
      </c>
      <c r="E172" s="9">
        <v>43888</v>
      </c>
    </row>
    <row r="173" spans="1:5" x14ac:dyDescent="0.45">
      <c r="A173" t="s">
        <v>104</v>
      </c>
      <c r="B173" t="s">
        <v>374</v>
      </c>
      <c r="C173">
        <v>134624</v>
      </c>
      <c r="D173">
        <v>70</v>
      </c>
      <c r="E173" s="9">
        <v>43965</v>
      </c>
    </row>
    <row r="174" spans="1:5" x14ac:dyDescent="0.45">
      <c r="A174" t="s">
        <v>104</v>
      </c>
      <c r="B174" t="s">
        <v>374</v>
      </c>
      <c r="C174">
        <v>137682</v>
      </c>
      <c r="D174">
        <v>670</v>
      </c>
      <c r="E174" s="9">
        <v>44014</v>
      </c>
    </row>
    <row r="175" spans="1:5" x14ac:dyDescent="0.45">
      <c r="A175" t="s">
        <v>104</v>
      </c>
      <c r="B175" t="s">
        <v>374</v>
      </c>
      <c r="C175" t="s">
        <v>656</v>
      </c>
      <c r="D175">
        <v>500</v>
      </c>
      <c r="E175" s="9">
        <v>44019</v>
      </c>
    </row>
    <row r="176" spans="1:5" x14ac:dyDescent="0.45">
      <c r="A176" t="s">
        <v>104</v>
      </c>
      <c r="B176" t="s">
        <v>374</v>
      </c>
      <c r="C176" t="s">
        <v>656</v>
      </c>
      <c r="D176">
        <v>70</v>
      </c>
      <c r="E176" s="9">
        <v>44089</v>
      </c>
    </row>
    <row r="177" spans="1:5" x14ac:dyDescent="0.45">
      <c r="A177" t="s">
        <v>104</v>
      </c>
      <c r="B177" t="s">
        <v>374</v>
      </c>
      <c r="C177">
        <v>138436</v>
      </c>
      <c r="D177">
        <v>125</v>
      </c>
      <c r="E177" s="9">
        <v>44146</v>
      </c>
    </row>
    <row r="178" spans="1:5" x14ac:dyDescent="0.45">
      <c r="A178" t="s">
        <v>104</v>
      </c>
      <c r="B178" t="s">
        <v>374</v>
      </c>
      <c r="C178">
        <v>138592</v>
      </c>
      <c r="D178">
        <v>100</v>
      </c>
      <c r="E178" s="9">
        <v>44177</v>
      </c>
    </row>
    <row r="179" spans="1:5" x14ac:dyDescent="0.45">
      <c r="A179" t="s">
        <v>104</v>
      </c>
      <c r="B179" t="s">
        <v>374</v>
      </c>
      <c r="C179">
        <v>139962</v>
      </c>
      <c r="D179">
        <v>300</v>
      </c>
      <c r="E179" s="9">
        <v>44204</v>
      </c>
    </row>
    <row r="180" spans="1:5" x14ac:dyDescent="0.45">
      <c r="A180" t="s">
        <v>105</v>
      </c>
      <c r="B180" t="s">
        <v>380</v>
      </c>
      <c r="D180">
        <v>4</v>
      </c>
      <c r="E180" s="16">
        <v>43431</v>
      </c>
    </row>
    <row r="181" spans="1:5" x14ac:dyDescent="0.45">
      <c r="A181" t="s">
        <v>105</v>
      </c>
      <c r="B181" t="s">
        <v>380</v>
      </c>
      <c r="C181">
        <v>165</v>
      </c>
      <c r="D181">
        <v>100</v>
      </c>
      <c r="E181" s="9">
        <v>43738</v>
      </c>
    </row>
    <row r="182" spans="1:5" x14ac:dyDescent="0.45">
      <c r="A182" t="s">
        <v>105</v>
      </c>
      <c r="B182" t="s">
        <v>380</v>
      </c>
      <c r="C182">
        <v>10914</v>
      </c>
      <c r="D182" s="13">
        <v>125</v>
      </c>
      <c r="E182" s="16">
        <v>43899</v>
      </c>
    </row>
    <row r="183" spans="1:5" x14ac:dyDescent="0.45">
      <c r="A183" t="s">
        <v>105</v>
      </c>
      <c r="B183" t="s">
        <v>380</v>
      </c>
      <c r="C183">
        <v>28611</v>
      </c>
      <c r="D183">
        <v>125</v>
      </c>
      <c r="E183" s="9">
        <v>44102</v>
      </c>
    </row>
    <row r="184" spans="1:5" x14ac:dyDescent="0.45">
      <c r="A184" t="s">
        <v>106</v>
      </c>
      <c r="B184" t="s">
        <v>549</v>
      </c>
      <c r="C184" s="13">
        <v>0</v>
      </c>
      <c r="D184" s="13">
        <v>125</v>
      </c>
      <c r="E184" s="9">
        <v>43801</v>
      </c>
    </row>
    <row r="185" spans="1:5" x14ac:dyDescent="0.45">
      <c r="A185" t="s">
        <v>106</v>
      </c>
      <c r="B185" t="s">
        <v>549</v>
      </c>
      <c r="C185">
        <v>10737</v>
      </c>
      <c r="D185">
        <v>125</v>
      </c>
      <c r="E185" s="9">
        <v>43857</v>
      </c>
    </row>
    <row r="186" spans="1:5" x14ac:dyDescent="0.45">
      <c r="A186" t="s">
        <v>106</v>
      </c>
      <c r="B186" t="s">
        <v>549</v>
      </c>
      <c r="C186" s="13">
        <v>18959</v>
      </c>
      <c r="D186" s="13">
        <v>125</v>
      </c>
      <c r="E186" s="9">
        <v>43960</v>
      </c>
    </row>
    <row r="187" spans="1:5" x14ac:dyDescent="0.45">
      <c r="A187" t="s">
        <v>106</v>
      </c>
      <c r="B187" t="s">
        <v>549</v>
      </c>
      <c r="C187">
        <v>27204</v>
      </c>
      <c r="D187">
        <v>125</v>
      </c>
      <c r="E187" s="9">
        <v>44049</v>
      </c>
    </row>
    <row r="188" spans="1:5" x14ac:dyDescent="0.45">
      <c r="A188" t="s">
        <v>106</v>
      </c>
      <c r="B188" t="s">
        <v>549</v>
      </c>
      <c r="C188" s="13">
        <v>30762</v>
      </c>
      <c r="D188" s="13">
        <v>100</v>
      </c>
      <c r="E188" s="9">
        <v>44089</v>
      </c>
    </row>
    <row r="189" spans="1:5" x14ac:dyDescent="0.45">
      <c r="A189" t="s">
        <v>106</v>
      </c>
      <c r="B189" t="s">
        <v>549</v>
      </c>
      <c r="C189">
        <v>33525</v>
      </c>
      <c r="D189">
        <v>125</v>
      </c>
      <c r="E189" s="9">
        <v>44121</v>
      </c>
    </row>
    <row r="190" spans="1:5" x14ac:dyDescent="0.45">
      <c r="A190" t="s">
        <v>106</v>
      </c>
      <c r="B190" t="s">
        <v>549</v>
      </c>
      <c r="C190" s="13">
        <v>38044</v>
      </c>
      <c r="D190" s="13">
        <v>245</v>
      </c>
      <c r="E190" s="9">
        <v>44170</v>
      </c>
    </row>
    <row r="191" spans="1:5" x14ac:dyDescent="0.45">
      <c r="A191" t="s">
        <v>106</v>
      </c>
      <c r="B191" t="s">
        <v>549</v>
      </c>
      <c r="C191">
        <v>39363</v>
      </c>
      <c r="E191" s="9">
        <v>44223</v>
      </c>
    </row>
    <row r="192" spans="1:5" x14ac:dyDescent="0.45">
      <c r="A192" t="s">
        <v>108</v>
      </c>
      <c r="B192" t="s">
        <v>391</v>
      </c>
      <c r="C192">
        <v>9076</v>
      </c>
      <c r="D192">
        <v>83.1</v>
      </c>
      <c r="E192" s="9">
        <v>42082</v>
      </c>
    </row>
    <row r="193" spans="1:5" x14ac:dyDescent="0.45">
      <c r="A193" s="14" t="s">
        <v>108</v>
      </c>
      <c r="B193" s="14"/>
      <c r="C193" s="14">
        <v>17000</v>
      </c>
      <c r="D193" s="14"/>
      <c r="E193" s="17">
        <v>42444</v>
      </c>
    </row>
    <row r="194" spans="1:5" x14ac:dyDescent="0.45">
      <c r="A194" t="s">
        <v>108</v>
      </c>
      <c r="B194" t="s">
        <v>391</v>
      </c>
      <c r="C194">
        <v>25145</v>
      </c>
      <c r="D194">
        <v>82.11</v>
      </c>
      <c r="E194" s="9">
        <v>42740</v>
      </c>
    </row>
    <row r="195" spans="1:5" x14ac:dyDescent="0.45">
      <c r="A195" t="s">
        <v>108</v>
      </c>
      <c r="B195" t="s">
        <v>391</v>
      </c>
      <c r="C195">
        <v>31893</v>
      </c>
      <c r="D195">
        <v>129.9</v>
      </c>
      <c r="E195" s="9">
        <v>42797</v>
      </c>
    </row>
    <row r="196" spans="1:5" x14ac:dyDescent="0.45">
      <c r="A196" t="s">
        <v>108</v>
      </c>
      <c r="B196" t="s">
        <v>391</v>
      </c>
      <c r="C196">
        <v>39851</v>
      </c>
      <c r="D196">
        <v>82.11</v>
      </c>
      <c r="E196" s="9">
        <v>42852</v>
      </c>
    </row>
    <row r="197" spans="1:5" x14ac:dyDescent="0.45">
      <c r="A197" t="s">
        <v>108</v>
      </c>
      <c r="B197" t="s">
        <v>391</v>
      </c>
      <c r="C197">
        <v>47782</v>
      </c>
      <c r="D197">
        <v>82.11</v>
      </c>
      <c r="E197" s="9">
        <v>42901</v>
      </c>
    </row>
    <row r="198" spans="1:5" x14ac:dyDescent="0.45">
      <c r="A198" t="s">
        <v>108</v>
      </c>
      <c r="B198" t="s">
        <v>391</v>
      </c>
      <c r="C198">
        <v>49004</v>
      </c>
      <c r="D198">
        <v>337.74</v>
      </c>
      <c r="E198" s="9">
        <v>42909</v>
      </c>
    </row>
    <row r="199" spans="1:5" x14ac:dyDescent="0.45">
      <c r="A199" t="s">
        <v>108</v>
      </c>
      <c r="B199" t="s">
        <v>391</v>
      </c>
      <c r="C199">
        <v>56084</v>
      </c>
      <c r="D199">
        <v>96.1</v>
      </c>
      <c r="E199" s="9">
        <v>42971</v>
      </c>
    </row>
    <row r="200" spans="1:5" x14ac:dyDescent="0.45">
      <c r="A200" t="s">
        <v>108</v>
      </c>
      <c r="B200" t="s">
        <v>391</v>
      </c>
      <c r="C200">
        <v>60336</v>
      </c>
      <c r="D200">
        <v>745.28</v>
      </c>
      <c r="E200" s="9">
        <v>43039</v>
      </c>
    </row>
    <row r="201" spans="1:5" x14ac:dyDescent="0.45">
      <c r="A201" t="s">
        <v>108</v>
      </c>
      <c r="B201" t="s">
        <v>391</v>
      </c>
      <c r="C201">
        <v>64499</v>
      </c>
      <c r="D201">
        <v>1181.8399999999999</v>
      </c>
      <c r="E201" s="9">
        <v>43100</v>
      </c>
    </row>
    <row r="202" spans="1:5" x14ac:dyDescent="0.45">
      <c r="A202" t="s">
        <v>108</v>
      </c>
      <c r="B202" t="s">
        <v>391</v>
      </c>
      <c r="C202">
        <v>67639</v>
      </c>
      <c r="D202">
        <v>65.47</v>
      </c>
      <c r="E202" s="9">
        <v>43138</v>
      </c>
    </row>
    <row r="203" spans="1:5" x14ac:dyDescent="0.45">
      <c r="A203" t="s">
        <v>108</v>
      </c>
      <c r="B203" t="s">
        <v>391</v>
      </c>
      <c r="C203">
        <v>76961</v>
      </c>
      <c r="D203">
        <v>65.47</v>
      </c>
      <c r="E203" s="9">
        <v>43209</v>
      </c>
    </row>
    <row r="204" spans="1:5" x14ac:dyDescent="0.45">
      <c r="A204" t="s">
        <v>108</v>
      </c>
      <c r="B204" t="s">
        <v>391</v>
      </c>
      <c r="C204">
        <v>77722</v>
      </c>
      <c r="D204">
        <v>177</v>
      </c>
      <c r="E204" s="9">
        <v>43214</v>
      </c>
    </row>
    <row r="205" spans="1:5" x14ac:dyDescent="0.45">
      <c r="A205" t="s">
        <v>108</v>
      </c>
      <c r="B205" t="s">
        <v>391</v>
      </c>
      <c r="C205">
        <v>86568</v>
      </c>
      <c r="D205">
        <v>102.91</v>
      </c>
      <c r="E205" s="9">
        <v>43272</v>
      </c>
    </row>
    <row r="206" spans="1:5" x14ac:dyDescent="0.45">
      <c r="A206" t="s">
        <v>108</v>
      </c>
      <c r="B206" t="s">
        <v>391</v>
      </c>
      <c r="C206">
        <v>96186</v>
      </c>
      <c r="D206">
        <v>65.47</v>
      </c>
      <c r="E206" s="9">
        <v>43356</v>
      </c>
    </row>
    <row r="207" spans="1:5" x14ac:dyDescent="0.45">
      <c r="A207" t="s">
        <v>108</v>
      </c>
      <c r="B207" t="s">
        <v>391</v>
      </c>
      <c r="C207">
        <v>109675</v>
      </c>
      <c r="D207">
        <v>827.83</v>
      </c>
      <c r="E207" s="9">
        <v>43479</v>
      </c>
    </row>
    <row r="208" spans="1:5" x14ac:dyDescent="0.45">
      <c r="A208" t="s">
        <v>108</v>
      </c>
      <c r="B208" t="s">
        <v>391</v>
      </c>
      <c r="C208">
        <v>129812</v>
      </c>
      <c r="D208">
        <v>91.42</v>
      </c>
      <c r="E208" s="9">
        <v>43761</v>
      </c>
    </row>
    <row r="209" spans="1:5" x14ac:dyDescent="0.45">
      <c r="A209" t="s">
        <v>108</v>
      </c>
      <c r="B209" t="s">
        <v>391</v>
      </c>
      <c r="C209">
        <v>140471</v>
      </c>
      <c r="D209">
        <v>1383.96</v>
      </c>
      <c r="E209" s="9">
        <v>43896</v>
      </c>
    </row>
    <row r="210" spans="1:5" x14ac:dyDescent="0.45">
      <c r="A210" t="s">
        <v>109</v>
      </c>
      <c r="B210" t="s">
        <v>403</v>
      </c>
      <c r="C210">
        <v>49781</v>
      </c>
      <c r="D210">
        <v>93.21</v>
      </c>
      <c r="E210" s="9">
        <v>42018</v>
      </c>
    </row>
    <row r="211" spans="1:5" x14ac:dyDescent="0.45">
      <c r="A211" t="s">
        <v>109</v>
      </c>
      <c r="B211" t="s">
        <v>403</v>
      </c>
      <c r="C211">
        <v>147987</v>
      </c>
      <c r="D211">
        <v>131.38</v>
      </c>
      <c r="E211" s="9">
        <v>42080</v>
      </c>
    </row>
    <row r="212" spans="1:5" x14ac:dyDescent="0.45">
      <c r="A212" t="s">
        <v>109</v>
      </c>
      <c r="B212" t="s">
        <v>403</v>
      </c>
      <c r="C212">
        <v>69726</v>
      </c>
      <c r="D212">
        <v>106.5</v>
      </c>
      <c r="E212" s="9">
        <v>42171</v>
      </c>
    </row>
    <row r="213" spans="1:5" x14ac:dyDescent="0.45">
      <c r="A213" t="s">
        <v>109</v>
      </c>
      <c r="B213" t="s">
        <v>403</v>
      </c>
      <c r="C213">
        <v>72940</v>
      </c>
      <c r="D213">
        <v>119.99</v>
      </c>
      <c r="E213" s="9">
        <v>42199</v>
      </c>
    </row>
    <row r="214" spans="1:5" x14ac:dyDescent="0.45">
      <c r="A214" t="s">
        <v>109</v>
      </c>
      <c r="B214" t="s">
        <v>403</v>
      </c>
      <c r="C214">
        <v>77350</v>
      </c>
      <c r="D214">
        <v>103.33</v>
      </c>
      <c r="E214" s="9">
        <v>42250</v>
      </c>
    </row>
    <row r="215" spans="1:5" x14ac:dyDescent="0.45">
      <c r="A215" t="s">
        <v>109</v>
      </c>
      <c r="B215" t="s">
        <v>403</v>
      </c>
      <c r="C215">
        <v>79875</v>
      </c>
      <c r="D215">
        <v>492.44</v>
      </c>
      <c r="E215" s="9">
        <v>42285</v>
      </c>
    </row>
    <row r="216" spans="1:5" x14ac:dyDescent="0.45">
      <c r="A216" t="s">
        <v>109</v>
      </c>
      <c r="B216" t="s">
        <v>403</v>
      </c>
      <c r="C216">
        <v>85181</v>
      </c>
      <c r="D216">
        <v>146.22</v>
      </c>
      <c r="E216" s="9">
        <v>42430</v>
      </c>
    </row>
    <row r="217" spans="1:5" x14ac:dyDescent="0.45">
      <c r="A217" t="s">
        <v>109</v>
      </c>
      <c r="B217" t="s">
        <v>403</v>
      </c>
      <c r="C217">
        <v>93300</v>
      </c>
      <c r="D217">
        <v>194</v>
      </c>
      <c r="E217" s="9">
        <v>42503</v>
      </c>
    </row>
    <row r="218" spans="1:5" x14ac:dyDescent="0.45">
      <c r="A218" t="s">
        <v>109</v>
      </c>
      <c r="B218" t="s">
        <v>403</v>
      </c>
      <c r="C218">
        <v>100808</v>
      </c>
      <c r="D218">
        <v>117.63</v>
      </c>
      <c r="E218" s="9">
        <v>42628</v>
      </c>
    </row>
    <row r="219" spans="1:5" x14ac:dyDescent="0.45">
      <c r="A219" t="s">
        <v>109</v>
      </c>
      <c r="B219" t="s">
        <v>403</v>
      </c>
      <c r="C219">
        <v>101943</v>
      </c>
      <c r="D219">
        <v>984.56</v>
      </c>
      <c r="E219" s="9">
        <v>42668</v>
      </c>
    </row>
    <row r="220" spans="1:5" x14ac:dyDescent="0.45">
      <c r="A220" t="s">
        <v>109</v>
      </c>
      <c r="B220" t="s">
        <v>403</v>
      </c>
      <c r="C220">
        <v>108402</v>
      </c>
      <c r="D220">
        <v>85.23</v>
      </c>
      <c r="E220" s="9">
        <v>42747</v>
      </c>
    </row>
    <row r="221" spans="1:5" x14ac:dyDescent="0.45">
      <c r="A221" t="s">
        <v>109</v>
      </c>
      <c r="B221" t="s">
        <v>403</v>
      </c>
      <c r="C221">
        <v>109266</v>
      </c>
      <c r="D221">
        <v>219.21</v>
      </c>
      <c r="E221" s="9">
        <v>42761</v>
      </c>
    </row>
    <row r="222" spans="1:5" x14ac:dyDescent="0.45">
      <c r="A222" t="s">
        <v>109</v>
      </c>
      <c r="B222" t="s">
        <v>403</v>
      </c>
      <c r="C222">
        <v>114046</v>
      </c>
      <c r="D222">
        <v>65.47</v>
      </c>
      <c r="E222" s="9">
        <v>42824</v>
      </c>
    </row>
    <row r="223" spans="1:5" x14ac:dyDescent="0.45">
      <c r="A223" t="s">
        <v>109</v>
      </c>
      <c r="B223" t="s">
        <v>403</v>
      </c>
      <c r="C223">
        <v>122226</v>
      </c>
      <c r="D223">
        <v>179.65</v>
      </c>
      <c r="E223" s="9">
        <v>42936</v>
      </c>
    </row>
    <row r="224" spans="1:5" x14ac:dyDescent="0.45">
      <c r="A224" t="s">
        <v>109</v>
      </c>
      <c r="B224" t="s">
        <v>403</v>
      </c>
      <c r="C224">
        <v>131739</v>
      </c>
      <c r="D224">
        <v>65.47</v>
      </c>
      <c r="E224" s="9">
        <v>43067</v>
      </c>
    </row>
    <row r="225" spans="1:5" x14ac:dyDescent="0.45">
      <c r="A225" t="s">
        <v>109</v>
      </c>
      <c r="B225" t="s">
        <v>403</v>
      </c>
      <c r="C225">
        <v>134199</v>
      </c>
      <c r="D225">
        <v>35.36</v>
      </c>
      <c r="E225" s="9">
        <v>43154</v>
      </c>
    </row>
    <row r="226" spans="1:5" x14ac:dyDescent="0.45">
      <c r="A226" t="s">
        <v>109</v>
      </c>
      <c r="B226" t="s">
        <v>403</v>
      </c>
      <c r="C226">
        <v>142615</v>
      </c>
      <c r="D226">
        <v>254.39</v>
      </c>
      <c r="E226" s="9">
        <v>43195</v>
      </c>
    </row>
    <row r="227" spans="1:5" x14ac:dyDescent="0.45">
      <c r="A227" t="s">
        <v>109</v>
      </c>
      <c r="B227" t="s">
        <v>403</v>
      </c>
      <c r="C227">
        <v>145479</v>
      </c>
      <c r="D227">
        <v>158.08000000000001</v>
      </c>
      <c r="E227" s="9">
        <v>43222</v>
      </c>
    </row>
    <row r="228" spans="1:5" x14ac:dyDescent="0.45">
      <c r="A228" t="s">
        <v>109</v>
      </c>
      <c r="B228" t="s">
        <v>403</v>
      </c>
      <c r="C228">
        <v>149079</v>
      </c>
      <c r="D228">
        <v>1501.23</v>
      </c>
      <c r="E228" s="9">
        <v>43271</v>
      </c>
    </row>
    <row r="229" spans="1:5" x14ac:dyDescent="0.45">
      <c r="A229" t="s">
        <v>109</v>
      </c>
      <c r="B229" t="s">
        <v>403</v>
      </c>
      <c r="C229">
        <v>149079</v>
      </c>
      <c r="D229">
        <v>258.75</v>
      </c>
      <c r="E229" s="9">
        <v>43273</v>
      </c>
    </row>
    <row r="230" spans="1:5" x14ac:dyDescent="0.45">
      <c r="A230" t="s">
        <v>109</v>
      </c>
      <c r="B230" t="s">
        <v>403</v>
      </c>
      <c r="C230">
        <v>154086</v>
      </c>
      <c r="D230">
        <v>161.19999999999999</v>
      </c>
      <c r="E230" s="9">
        <v>43334</v>
      </c>
    </row>
    <row r="231" spans="1:5" x14ac:dyDescent="0.45">
      <c r="A231" t="s">
        <v>109</v>
      </c>
      <c r="B231" t="s">
        <v>403</v>
      </c>
      <c r="C231">
        <v>155223</v>
      </c>
      <c r="D231">
        <v>162.5</v>
      </c>
      <c r="E231" s="9">
        <v>43440</v>
      </c>
    </row>
    <row r="232" spans="1:5" x14ac:dyDescent="0.45">
      <c r="A232" t="s">
        <v>109</v>
      </c>
      <c r="B232" t="s">
        <v>403</v>
      </c>
      <c r="C232">
        <v>161608</v>
      </c>
      <c r="D232">
        <v>54.89</v>
      </c>
      <c r="E232" s="9">
        <v>43532</v>
      </c>
    </row>
    <row r="233" spans="1:5" x14ac:dyDescent="0.45">
      <c r="A233" t="s">
        <v>109</v>
      </c>
      <c r="B233" t="s">
        <v>403</v>
      </c>
      <c r="C233">
        <v>170890</v>
      </c>
      <c r="D233">
        <v>668.83</v>
      </c>
      <c r="E233" s="9">
        <v>43647</v>
      </c>
    </row>
    <row r="234" spans="1:5" x14ac:dyDescent="0.45">
      <c r="A234" t="s">
        <v>109</v>
      </c>
      <c r="B234" t="s">
        <v>403</v>
      </c>
      <c r="C234">
        <v>186000</v>
      </c>
      <c r="D234">
        <v>82.39</v>
      </c>
      <c r="E234" s="9">
        <v>43936</v>
      </c>
    </row>
    <row r="235" spans="1:5" x14ac:dyDescent="0.45">
      <c r="A235" t="s">
        <v>110</v>
      </c>
      <c r="B235" t="s">
        <v>411</v>
      </c>
      <c r="C235">
        <v>11356</v>
      </c>
      <c r="D235">
        <v>101.67</v>
      </c>
      <c r="E235" s="9">
        <v>42139</v>
      </c>
    </row>
    <row r="236" spans="1:5" x14ac:dyDescent="0.45">
      <c r="A236" t="s">
        <v>110</v>
      </c>
      <c r="B236" t="s">
        <v>411</v>
      </c>
      <c r="C236">
        <v>14852</v>
      </c>
      <c r="D236">
        <v>14.99</v>
      </c>
      <c r="E236" s="9">
        <v>42201</v>
      </c>
    </row>
    <row r="237" spans="1:5" x14ac:dyDescent="0.45">
      <c r="A237" t="s">
        <v>110</v>
      </c>
      <c r="B237" t="s">
        <v>411</v>
      </c>
      <c r="C237">
        <v>17786</v>
      </c>
      <c r="D237">
        <v>49.99</v>
      </c>
      <c r="E237" s="9">
        <v>42250</v>
      </c>
    </row>
    <row r="238" spans="1:5" x14ac:dyDescent="0.45">
      <c r="A238" t="s">
        <v>110</v>
      </c>
      <c r="B238" t="s">
        <v>411</v>
      </c>
      <c r="C238">
        <v>18303</v>
      </c>
      <c r="D238">
        <v>96.38</v>
      </c>
      <c r="E238" s="9">
        <v>42262</v>
      </c>
    </row>
    <row r="239" spans="1:5" x14ac:dyDescent="0.45">
      <c r="A239" t="s">
        <v>110</v>
      </c>
      <c r="B239" t="s">
        <v>411</v>
      </c>
      <c r="C239">
        <v>26096</v>
      </c>
      <c r="D239">
        <v>93.21</v>
      </c>
      <c r="E239" s="9">
        <v>42381</v>
      </c>
    </row>
    <row r="240" spans="1:5" x14ac:dyDescent="0.45">
      <c r="A240" t="s">
        <v>110</v>
      </c>
      <c r="B240" t="s">
        <v>411</v>
      </c>
      <c r="C240">
        <v>33897</v>
      </c>
      <c r="D240">
        <v>121.27</v>
      </c>
      <c r="E240" s="9">
        <v>42479</v>
      </c>
    </row>
    <row r="241" spans="1:5" x14ac:dyDescent="0.45">
      <c r="A241" t="s">
        <v>110</v>
      </c>
      <c r="B241" t="s">
        <v>411</v>
      </c>
      <c r="C241">
        <v>40905</v>
      </c>
      <c r="D241">
        <v>96.38</v>
      </c>
      <c r="E241" s="9">
        <v>42566</v>
      </c>
    </row>
    <row r="242" spans="1:5" x14ac:dyDescent="0.45">
      <c r="A242" t="s">
        <v>110</v>
      </c>
      <c r="B242" t="s">
        <v>411</v>
      </c>
      <c r="C242">
        <v>48565</v>
      </c>
      <c r="D242">
        <v>82.53</v>
      </c>
      <c r="E242" s="9">
        <v>42647</v>
      </c>
    </row>
    <row r="243" spans="1:5" x14ac:dyDescent="0.45">
      <c r="A243" t="s">
        <v>110</v>
      </c>
      <c r="B243" t="s">
        <v>411</v>
      </c>
      <c r="C243">
        <v>56271</v>
      </c>
      <c r="D243">
        <v>65.47</v>
      </c>
      <c r="E243" s="9">
        <v>42744</v>
      </c>
    </row>
    <row r="244" spans="1:5" x14ac:dyDescent="0.45">
      <c r="A244" t="s">
        <v>110</v>
      </c>
      <c r="B244" t="s">
        <v>411</v>
      </c>
      <c r="C244">
        <v>61276</v>
      </c>
      <c r="D244">
        <v>781.35</v>
      </c>
      <c r="E244" s="9">
        <v>42807</v>
      </c>
    </row>
    <row r="245" spans="1:5" x14ac:dyDescent="0.45">
      <c r="A245" t="s">
        <v>110</v>
      </c>
      <c r="B245" t="s">
        <v>411</v>
      </c>
      <c r="C245">
        <v>62349</v>
      </c>
      <c r="D245">
        <v>65.47</v>
      </c>
      <c r="E245" s="9">
        <v>42824</v>
      </c>
    </row>
    <row r="246" spans="1:5" x14ac:dyDescent="0.45">
      <c r="A246" t="s">
        <v>110</v>
      </c>
      <c r="B246" t="s">
        <v>411</v>
      </c>
      <c r="C246">
        <v>69109</v>
      </c>
      <c r="D246">
        <v>102.91</v>
      </c>
      <c r="E246" s="9">
        <v>42929</v>
      </c>
    </row>
    <row r="247" spans="1:5" x14ac:dyDescent="0.45">
      <c r="A247" t="s">
        <v>110</v>
      </c>
      <c r="B247" t="s">
        <v>411</v>
      </c>
      <c r="C247">
        <v>72061</v>
      </c>
      <c r="D247">
        <v>847.69</v>
      </c>
      <c r="E247" s="9">
        <v>42985</v>
      </c>
    </row>
    <row r="248" spans="1:5" x14ac:dyDescent="0.45">
      <c r="A248" t="s">
        <v>110</v>
      </c>
      <c r="B248" t="s">
        <v>411</v>
      </c>
      <c r="C248">
        <v>80693</v>
      </c>
      <c r="D248">
        <v>65.47</v>
      </c>
      <c r="E248" s="9">
        <v>43138</v>
      </c>
    </row>
    <row r="249" spans="1:5" x14ac:dyDescent="0.45">
      <c r="A249" t="s">
        <v>110</v>
      </c>
      <c r="B249" t="s">
        <v>411</v>
      </c>
      <c r="C249">
        <v>88224</v>
      </c>
      <c r="D249">
        <v>65.47</v>
      </c>
      <c r="E249" s="9">
        <v>43272</v>
      </c>
    </row>
    <row r="250" spans="1:5" x14ac:dyDescent="0.45">
      <c r="A250" t="s">
        <v>110</v>
      </c>
      <c r="B250" t="s">
        <v>411</v>
      </c>
      <c r="C250">
        <v>115426</v>
      </c>
      <c r="D250">
        <v>230.14</v>
      </c>
      <c r="E250" s="9">
        <v>43782</v>
      </c>
    </row>
    <row r="251" spans="1:5" x14ac:dyDescent="0.45">
      <c r="A251" t="s">
        <v>110</v>
      </c>
      <c r="B251" t="s">
        <v>411</v>
      </c>
      <c r="C251">
        <v>120244</v>
      </c>
      <c r="D251">
        <v>575.55999999999995</v>
      </c>
      <c r="E251" s="9">
        <v>43853</v>
      </c>
    </row>
    <row r="252" spans="1:5" x14ac:dyDescent="0.45">
      <c r="A252" t="s">
        <v>111</v>
      </c>
      <c r="B252" t="s">
        <v>417</v>
      </c>
      <c r="C252">
        <v>10614</v>
      </c>
      <c r="D252">
        <v>118.1</v>
      </c>
      <c r="E252" s="9">
        <v>42150</v>
      </c>
    </row>
    <row r="253" spans="1:5" x14ac:dyDescent="0.45">
      <c r="A253" t="s">
        <v>111</v>
      </c>
      <c r="B253" t="s">
        <v>417</v>
      </c>
      <c r="C253">
        <v>18282</v>
      </c>
      <c r="D253">
        <v>96.38</v>
      </c>
      <c r="E253" s="9">
        <v>42262</v>
      </c>
    </row>
    <row r="254" spans="1:5" x14ac:dyDescent="0.45">
      <c r="A254" t="s">
        <v>111</v>
      </c>
      <c r="B254" t="s">
        <v>417</v>
      </c>
      <c r="C254">
        <v>25420</v>
      </c>
      <c r="D254">
        <v>118.1</v>
      </c>
      <c r="E254" s="9">
        <v>42346</v>
      </c>
    </row>
    <row r="255" spans="1:5" x14ac:dyDescent="0.45">
      <c r="A255" t="s">
        <v>111</v>
      </c>
      <c r="B255" t="s">
        <v>417</v>
      </c>
      <c r="C255">
        <v>32541</v>
      </c>
      <c r="D255">
        <v>118.1</v>
      </c>
      <c r="E255" s="9">
        <v>42446</v>
      </c>
    </row>
    <row r="256" spans="1:5" x14ac:dyDescent="0.45">
      <c r="A256" t="s">
        <v>111</v>
      </c>
      <c r="B256" t="s">
        <v>417</v>
      </c>
      <c r="C256">
        <v>41960</v>
      </c>
      <c r="D256">
        <v>107.52</v>
      </c>
      <c r="E256" s="9">
        <v>42556</v>
      </c>
    </row>
    <row r="257" spans="1:5" x14ac:dyDescent="0.45">
      <c r="A257" t="s">
        <v>111</v>
      </c>
      <c r="B257" t="s">
        <v>417</v>
      </c>
      <c r="C257">
        <v>49650</v>
      </c>
      <c r="D257">
        <v>951.06</v>
      </c>
      <c r="E257" s="9">
        <v>42646</v>
      </c>
    </row>
    <row r="258" spans="1:5" x14ac:dyDescent="0.45">
      <c r="A258" t="s">
        <v>111</v>
      </c>
      <c r="B258" t="s">
        <v>417</v>
      </c>
      <c r="C258">
        <v>49651</v>
      </c>
      <c r="D258">
        <v>151.72</v>
      </c>
      <c r="E258" s="9">
        <v>42647</v>
      </c>
    </row>
    <row r="259" spans="1:5" x14ac:dyDescent="0.45">
      <c r="A259" t="s">
        <v>111</v>
      </c>
      <c r="B259" t="s">
        <v>417</v>
      </c>
      <c r="C259">
        <v>57559</v>
      </c>
      <c r="D259">
        <v>102.91</v>
      </c>
      <c r="E259" s="9">
        <v>42739</v>
      </c>
    </row>
    <row r="260" spans="1:5" x14ac:dyDescent="0.45">
      <c r="A260" t="s">
        <v>111</v>
      </c>
      <c r="B260" t="s">
        <v>417</v>
      </c>
      <c r="C260">
        <v>65870</v>
      </c>
      <c r="D260">
        <v>131.51</v>
      </c>
      <c r="E260" s="9">
        <v>42824</v>
      </c>
    </row>
    <row r="261" spans="1:5" x14ac:dyDescent="0.45">
      <c r="A261" t="s">
        <v>111</v>
      </c>
      <c r="B261" t="s">
        <v>417</v>
      </c>
      <c r="C261">
        <v>72565</v>
      </c>
      <c r="D261">
        <v>1244.96</v>
      </c>
      <c r="E261" s="9">
        <v>42900</v>
      </c>
    </row>
    <row r="262" spans="1:5" x14ac:dyDescent="0.45">
      <c r="A262" t="s">
        <v>111</v>
      </c>
      <c r="B262" t="s">
        <v>417</v>
      </c>
      <c r="C262">
        <v>72919</v>
      </c>
      <c r="D262">
        <v>125.27</v>
      </c>
      <c r="E262" s="9">
        <v>42901</v>
      </c>
    </row>
    <row r="263" spans="1:5" x14ac:dyDescent="0.45">
      <c r="A263" t="s">
        <v>111</v>
      </c>
      <c r="B263" t="s">
        <v>417</v>
      </c>
      <c r="C263">
        <v>82900</v>
      </c>
      <c r="D263">
        <v>38.950000000000003</v>
      </c>
      <c r="E263" s="9">
        <v>43026</v>
      </c>
    </row>
    <row r="264" spans="1:5" x14ac:dyDescent="0.45">
      <c r="A264" t="s">
        <v>111</v>
      </c>
      <c r="B264" t="s">
        <v>417</v>
      </c>
      <c r="C264">
        <v>90500</v>
      </c>
      <c r="D264">
        <v>76.95</v>
      </c>
      <c r="E264" s="9">
        <v>43112</v>
      </c>
    </row>
    <row r="265" spans="1:5" x14ac:dyDescent="0.45">
      <c r="A265" t="s">
        <v>111</v>
      </c>
      <c r="B265" t="s">
        <v>417</v>
      </c>
      <c r="C265">
        <v>90500</v>
      </c>
      <c r="D265">
        <v>80</v>
      </c>
      <c r="E265" s="9">
        <v>43112</v>
      </c>
    </row>
    <row r="266" spans="1:5" x14ac:dyDescent="0.45">
      <c r="A266" t="s">
        <v>111</v>
      </c>
      <c r="B266" t="s">
        <v>417</v>
      </c>
      <c r="C266">
        <v>106109</v>
      </c>
      <c r="D266">
        <v>766.66</v>
      </c>
      <c r="E266" s="9">
        <v>43292</v>
      </c>
    </row>
    <row r="267" spans="1:5" x14ac:dyDescent="0.45">
      <c r="A267" t="s">
        <v>111</v>
      </c>
      <c r="B267" t="s">
        <v>417</v>
      </c>
      <c r="C267">
        <v>116000</v>
      </c>
      <c r="D267">
        <v>561.45000000000005</v>
      </c>
      <c r="E267" s="9">
        <v>43441</v>
      </c>
    </row>
    <row r="268" spans="1:5" x14ac:dyDescent="0.45">
      <c r="A268" t="s">
        <v>111</v>
      </c>
      <c r="B268" t="s">
        <v>417</v>
      </c>
      <c r="C268">
        <v>125000</v>
      </c>
      <c r="D268">
        <v>1211.3</v>
      </c>
      <c r="E268" s="9">
        <v>43563</v>
      </c>
    </row>
    <row r="269" spans="1:5" x14ac:dyDescent="0.45">
      <c r="A269" t="s">
        <v>111</v>
      </c>
      <c r="B269" t="s">
        <v>417</v>
      </c>
      <c r="C269">
        <v>127000</v>
      </c>
      <c r="D269">
        <v>434</v>
      </c>
      <c r="E269" s="9">
        <v>43578</v>
      </c>
    </row>
    <row r="270" spans="1:5" x14ac:dyDescent="0.45">
      <c r="A270" t="s">
        <v>111</v>
      </c>
      <c r="B270" t="s">
        <v>417</v>
      </c>
      <c r="C270">
        <v>127246</v>
      </c>
      <c r="D270">
        <v>2167.84</v>
      </c>
      <c r="E270" s="9">
        <v>43675</v>
      </c>
    </row>
    <row r="271" spans="1:5" x14ac:dyDescent="0.45">
      <c r="A271" t="s">
        <v>111</v>
      </c>
      <c r="B271" t="s">
        <v>417</v>
      </c>
      <c r="C271">
        <v>134579</v>
      </c>
      <c r="D271">
        <v>164.16</v>
      </c>
      <c r="E271" s="9">
        <v>43763</v>
      </c>
    </row>
    <row r="272" spans="1:5" x14ac:dyDescent="0.45">
      <c r="A272" t="s">
        <v>111</v>
      </c>
      <c r="B272" t="s">
        <v>417</v>
      </c>
      <c r="C272">
        <v>141644</v>
      </c>
      <c r="D272">
        <v>856.05</v>
      </c>
      <c r="E272" s="9">
        <v>43889</v>
      </c>
    </row>
    <row r="273" spans="1:5" x14ac:dyDescent="0.45">
      <c r="A273" t="s">
        <v>112</v>
      </c>
      <c r="B273" t="s">
        <v>421</v>
      </c>
      <c r="C273">
        <v>51578.76</v>
      </c>
      <c r="D273">
        <v>0</v>
      </c>
      <c r="E273" s="9">
        <v>41787</v>
      </c>
    </row>
    <row r="274" spans="1:5" x14ac:dyDescent="0.45">
      <c r="A274" t="s">
        <v>112</v>
      </c>
      <c r="B274" t="s">
        <v>421</v>
      </c>
      <c r="C274">
        <v>68250</v>
      </c>
      <c r="D274">
        <v>93.21</v>
      </c>
      <c r="E274" s="9">
        <v>41900</v>
      </c>
    </row>
    <row r="275" spans="1:5" x14ac:dyDescent="0.45">
      <c r="A275" t="s">
        <v>112</v>
      </c>
      <c r="B275" t="s">
        <v>421</v>
      </c>
      <c r="C275">
        <v>76661</v>
      </c>
      <c r="D275">
        <v>93.21</v>
      </c>
      <c r="E275" s="9">
        <v>41957</v>
      </c>
    </row>
    <row r="276" spans="1:5" x14ac:dyDescent="0.45">
      <c r="A276" t="s">
        <v>112</v>
      </c>
      <c r="B276" t="s">
        <v>421</v>
      </c>
      <c r="C276">
        <v>84239</v>
      </c>
      <c r="D276">
        <v>131.38</v>
      </c>
      <c r="E276" s="9">
        <v>42304</v>
      </c>
    </row>
    <row r="277" spans="1:5" x14ac:dyDescent="0.45">
      <c r="A277" t="s">
        <v>112</v>
      </c>
      <c r="B277" t="s">
        <v>421</v>
      </c>
      <c r="C277">
        <v>92567</v>
      </c>
      <c r="D277">
        <v>128.21</v>
      </c>
      <c r="E277" s="9">
        <v>42381</v>
      </c>
    </row>
    <row r="278" spans="1:5" x14ac:dyDescent="0.45">
      <c r="A278" t="s">
        <v>112</v>
      </c>
      <c r="B278" t="s">
        <v>421</v>
      </c>
      <c r="C278">
        <v>93771</v>
      </c>
      <c r="D278">
        <v>1080.06</v>
      </c>
      <c r="E278" s="9">
        <v>42516</v>
      </c>
    </row>
    <row r="279" spans="1:5" x14ac:dyDescent="0.45">
      <c r="A279" t="s">
        <v>112</v>
      </c>
      <c r="B279" t="s">
        <v>421</v>
      </c>
      <c r="C279">
        <v>100256</v>
      </c>
      <c r="D279">
        <v>88.59</v>
      </c>
      <c r="E279" s="9">
        <v>42612</v>
      </c>
    </row>
    <row r="280" spans="1:5" x14ac:dyDescent="0.45">
      <c r="A280" t="s">
        <v>112</v>
      </c>
      <c r="B280" t="s">
        <v>421</v>
      </c>
      <c r="C280">
        <v>107153</v>
      </c>
      <c r="D280">
        <v>188.38</v>
      </c>
      <c r="E280" s="9">
        <v>42697</v>
      </c>
    </row>
    <row r="281" spans="1:5" x14ac:dyDescent="0.45">
      <c r="A281" t="s">
        <v>112</v>
      </c>
      <c r="B281" t="s">
        <v>421</v>
      </c>
      <c r="C281">
        <v>113484</v>
      </c>
      <c r="D281">
        <v>323.77999999999997</v>
      </c>
      <c r="E281" s="9">
        <v>42852</v>
      </c>
    </row>
    <row r="282" spans="1:5" x14ac:dyDescent="0.45">
      <c r="A282" t="s">
        <v>112</v>
      </c>
      <c r="B282" t="s">
        <v>421</v>
      </c>
      <c r="C282">
        <v>118812</v>
      </c>
      <c r="D282">
        <v>96.1</v>
      </c>
      <c r="E282" s="9">
        <v>42971</v>
      </c>
    </row>
    <row r="283" spans="1:5" x14ac:dyDescent="0.45">
      <c r="A283" t="s">
        <v>112</v>
      </c>
      <c r="B283" t="s">
        <v>421</v>
      </c>
      <c r="C283">
        <v>123235</v>
      </c>
      <c r="D283">
        <v>1029.74</v>
      </c>
      <c r="E283" s="9">
        <v>43039</v>
      </c>
    </row>
    <row r="284" spans="1:5" x14ac:dyDescent="0.45">
      <c r="A284" t="s">
        <v>112</v>
      </c>
      <c r="B284" t="s">
        <v>421</v>
      </c>
      <c r="C284">
        <v>129257</v>
      </c>
      <c r="D284">
        <v>502.45</v>
      </c>
      <c r="E284" s="9">
        <v>43143</v>
      </c>
    </row>
    <row r="285" spans="1:5" x14ac:dyDescent="0.45">
      <c r="A285" t="s">
        <v>112</v>
      </c>
      <c r="B285" t="s">
        <v>421</v>
      </c>
      <c r="C285">
        <v>134195</v>
      </c>
      <c r="D285">
        <v>34.840000000000003</v>
      </c>
      <c r="E285" s="9">
        <v>43222</v>
      </c>
    </row>
    <row r="286" spans="1:5" x14ac:dyDescent="0.45">
      <c r="A286" t="s">
        <v>112</v>
      </c>
      <c r="B286" t="s">
        <v>421</v>
      </c>
      <c r="C286">
        <v>134991</v>
      </c>
      <c r="D286">
        <v>98.63</v>
      </c>
      <c r="E286" s="9">
        <v>43234</v>
      </c>
    </row>
    <row r="287" spans="1:5" x14ac:dyDescent="0.45">
      <c r="A287" t="s">
        <v>112</v>
      </c>
      <c r="B287" t="s">
        <v>421</v>
      </c>
      <c r="C287">
        <v>144187</v>
      </c>
      <c r="D287">
        <v>65.47</v>
      </c>
      <c r="E287" s="9">
        <v>43353</v>
      </c>
    </row>
    <row r="288" spans="1:5" x14ac:dyDescent="0.45">
      <c r="A288" t="s">
        <v>112</v>
      </c>
      <c r="B288" t="s">
        <v>421</v>
      </c>
      <c r="C288">
        <v>144988</v>
      </c>
      <c r="D288">
        <v>644.91</v>
      </c>
      <c r="E288" s="9">
        <v>43362</v>
      </c>
    </row>
    <row r="289" spans="1:5" x14ac:dyDescent="0.45">
      <c r="A289" t="s">
        <v>112</v>
      </c>
      <c r="B289" t="s">
        <v>421</v>
      </c>
      <c r="C289">
        <v>168531</v>
      </c>
      <c r="D289">
        <v>412.34</v>
      </c>
      <c r="E289" s="9">
        <v>43649</v>
      </c>
    </row>
    <row r="290" spans="1:5" x14ac:dyDescent="0.45">
      <c r="A290" t="s">
        <v>112</v>
      </c>
      <c r="B290" t="s">
        <v>421</v>
      </c>
      <c r="C290">
        <v>180740</v>
      </c>
      <c r="D290">
        <v>499.28</v>
      </c>
      <c r="E290" s="9">
        <v>43822</v>
      </c>
    </row>
    <row r="291" spans="1:5" x14ac:dyDescent="0.45">
      <c r="A291" t="s">
        <v>112</v>
      </c>
      <c r="B291" t="s">
        <v>421</v>
      </c>
      <c r="C291">
        <v>182316</v>
      </c>
      <c r="D291">
        <v>2122.91</v>
      </c>
      <c r="E291" s="9">
        <v>43845</v>
      </c>
    </row>
    <row r="292" spans="1:5" x14ac:dyDescent="0.45">
      <c r="A292" t="s">
        <v>112</v>
      </c>
      <c r="B292" t="s">
        <v>421</v>
      </c>
      <c r="C292">
        <v>196961</v>
      </c>
      <c r="D292">
        <v>334</v>
      </c>
      <c r="E292" s="9">
        <v>44202</v>
      </c>
    </row>
    <row r="293" spans="1:5" x14ac:dyDescent="0.45">
      <c r="A293" t="s">
        <v>113</v>
      </c>
      <c r="B293" t="s">
        <v>657</v>
      </c>
      <c r="C293">
        <v>9448</v>
      </c>
      <c r="D293">
        <v>131.38</v>
      </c>
      <c r="E293" s="9">
        <v>42082</v>
      </c>
    </row>
    <row r="294" spans="1:5" x14ac:dyDescent="0.45">
      <c r="A294" t="s">
        <v>113</v>
      </c>
      <c r="B294" t="s">
        <v>657</v>
      </c>
      <c r="C294">
        <v>19834</v>
      </c>
      <c r="D294">
        <v>118.1</v>
      </c>
      <c r="E294" s="9">
        <v>42206</v>
      </c>
    </row>
    <row r="295" spans="1:5" x14ac:dyDescent="0.45">
      <c r="A295" t="s">
        <v>113</v>
      </c>
      <c r="B295" t="s">
        <v>657</v>
      </c>
      <c r="C295">
        <v>24233</v>
      </c>
      <c r="D295">
        <v>40</v>
      </c>
      <c r="E295" s="9">
        <v>42250</v>
      </c>
    </row>
    <row r="296" spans="1:5" x14ac:dyDescent="0.45">
      <c r="A296" t="s">
        <v>113</v>
      </c>
      <c r="B296" t="s">
        <v>657</v>
      </c>
      <c r="C296">
        <v>28042</v>
      </c>
      <c r="D296">
        <v>93.21</v>
      </c>
      <c r="E296" s="9">
        <v>42304</v>
      </c>
    </row>
    <row r="297" spans="1:5" x14ac:dyDescent="0.45">
      <c r="A297" t="s">
        <v>113</v>
      </c>
      <c r="B297" t="s">
        <v>657</v>
      </c>
      <c r="C297">
        <v>34999</v>
      </c>
      <c r="D297">
        <v>131.38</v>
      </c>
      <c r="E297" s="9">
        <v>42383</v>
      </c>
    </row>
    <row r="298" spans="1:5" x14ac:dyDescent="0.45">
      <c r="A298" t="s">
        <v>113</v>
      </c>
      <c r="B298" t="s">
        <v>657</v>
      </c>
      <c r="C298">
        <v>41905</v>
      </c>
      <c r="D298">
        <v>1100.43</v>
      </c>
      <c r="E298" s="9">
        <v>42447</v>
      </c>
    </row>
    <row r="299" spans="1:5" x14ac:dyDescent="0.45">
      <c r="A299" t="s">
        <v>113</v>
      </c>
      <c r="B299" t="s">
        <v>657</v>
      </c>
      <c r="C299">
        <v>49852</v>
      </c>
      <c r="D299">
        <v>170.64</v>
      </c>
      <c r="E299" s="9">
        <v>42516</v>
      </c>
    </row>
    <row r="300" spans="1:5" x14ac:dyDescent="0.45">
      <c r="A300" t="s">
        <v>113</v>
      </c>
      <c r="B300" t="s">
        <v>657</v>
      </c>
      <c r="C300">
        <v>57763</v>
      </c>
      <c r="D300">
        <v>93.21</v>
      </c>
      <c r="E300" s="9">
        <v>42598</v>
      </c>
    </row>
    <row r="301" spans="1:5" x14ac:dyDescent="0.45">
      <c r="A301" t="s">
        <v>113</v>
      </c>
      <c r="B301" t="s">
        <v>657</v>
      </c>
      <c r="C301">
        <v>66060</v>
      </c>
      <c r="D301">
        <v>128.21</v>
      </c>
      <c r="E301" s="9">
        <v>42682</v>
      </c>
    </row>
    <row r="302" spans="1:5" x14ac:dyDescent="0.45">
      <c r="A302" t="s">
        <v>113</v>
      </c>
      <c r="B302" t="s">
        <v>657</v>
      </c>
      <c r="C302">
        <v>66187</v>
      </c>
      <c r="D302">
        <v>2089.92</v>
      </c>
      <c r="E302" s="9">
        <v>42689</v>
      </c>
    </row>
    <row r="303" spans="1:5" x14ac:dyDescent="0.45">
      <c r="A303" t="s">
        <v>113</v>
      </c>
      <c r="B303" t="s">
        <v>657</v>
      </c>
      <c r="C303">
        <v>69717</v>
      </c>
      <c r="D303">
        <v>158.12</v>
      </c>
      <c r="E303" s="9">
        <v>42739</v>
      </c>
    </row>
    <row r="304" spans="1:5" x14ac:dyDescent="0.45">
      <c r="A304" t="s">
        <v>113</v>
      </c>
      <c r="B304" t="s">
        <v>657</v>
      </c>
      <c r="C304">
        <v>70633</v>
      </c>
      <c r="D304">
        <v>420.5</v>
      </c>
      <c r="E304" s="9">
        <v>42746</v>
      </c>
    </row>
    <row r="305" spans="1:5" x14ac:dyDescent="0.45">
      <c r="A305" t="s">
        <v>113</v>
      </c>
      <c r="B305" t="s">
        <v>657</v>
      </c>
      <c r="C305">
        <v>72676</v>
      </c>
      <c r="D305">
        <v>92.46</v>
      </c>
      <c r="E305" s="9">
        <v>42797</v>
      </c>
    </row>
    <row r="306" spans="1:5" x14ac:dyDescent="0.45">
      <c r="A306" t="s">
        <v>113</v>
      </c>
      <c r="B306" t="s">
        <v>657</v>
      </c>
      <c r="C306">
        <v>73752</v>
      </c>
      <c r="D306">
        <v>35</v>
      </c>
      <c r="E306" s="9">
        <v>42810</v>
      </c>
    </row>
    <row r="307" spans="1:5" x14ac:dyDescent="0.45">
      <c r="A307" t="s">
        <v>113</v>
      </c>
      <c r="B307" t="s">
        <v>657</v>
      </c>
      <c r="D307">
        <v>164.54</v>
      </c>
      <c r="E307" s="9">
        <v>42856</v>
      </c>
    </row>
    <row r="308" spans="1:5" x14ac:dyDescent="0.45">
      <c r="A308" t="s">
        <v>113</v>
      </c>
      <c r="B308" t="s">
        <v>657</v>
      </c>
      <c r="C308">
        <v>80003</v>
      </c>
      <c r="D308">
        <v>82.11</v>
      </c>
      <c r="E308" s="9">
        <v>42901</v>
      </c>
    </row>
    <row r="309" spans="1:5" x14ac:dyDescent="0.45">
      <c r="A309" t="s">
        <v>113</v>
      </c>
      <c r="B309" t="s">
        <v>657</v>
      </c>
      <c r="C309">
        <v>84324</v>
      </c>
      <c r="D309">
        <v>85.75</v>
      </c>
      <c r="E309" s="9">
        <v>42971</v>
      </c>
    </row>
    <row r="310" spans="1:5" x14ac:dyDescent="0.45">
      <c r="A310" t="s">
        <v>113</v>
      </c>
      <c r="B310" t="s">
        <v>657</v>
      </c>
      <c r="C310">
        <v>87570</v>
      </c>
      <c r="D310">
        <v>1254.42</v>
      </c>
      <c r="E310" s="9">
        <v>43017</v>
      </c>
    </row>
    <row r="311" spans="1:5" x14ac:dyDescent="0.45">
      <c r="A311" t="s">
        <v>113</v>
      </c>
      <c r="B311" t="s">
        <v>657</v>
      </c>
      <c r="C311">
        <v>95766</v>
      </c>
      <c r="D311">
        <v>65.47</v>
      </c>
      <c r="E311" s="9">
        <v>43138</v>
      </c>
    </row>
    <row r="312" spans="1:5" x14ac:dyDescent="0.45">
      <c r="A312" t="s">
        <v>113</v>
      </c>
      <c r="B312" t="s">
        <v>657</v>
      </c>
      <c r="C312">
        <v>96945</v>
      </c>
      <c r="D312">
        <v>129.99</v>
      </c>
      <c r="E312" s="9">
        <v>43154</v>
      </c>
    </row>
    <row r="313" spans="1:5" x14ac:dyDescent="0.45">
      <c r="A313" t="s">
        <v>113</v>
      </c>
      <c r="B313" t="s">
        <v>657</v>
      </c>
      <c r="C313">
        <v>105383</v>
      </c>
      <c r="D313">
        <v>65.47</v>
      </c>
      <c r="E313" s="9">
        <v>43272</v>
      </c>
    </row>
    <row r="314" spans="1:5" x14ac:dyDescent="0.45">
      <c r="A314" t="s">
        <v>113</v>
      </c>
      <c r="B314" t="s">
        <v>657</v>
      </c>
      <c r="C314">
        <v>117308</v>
      </c>
      <c r="D314">
        <v>953.09</v>
      </c>
      <c r="E314" s="9">
        <v>43446</v>
      </c>
    </row>
    <row r="315" spans="1:5" x14ac:dyDescent="0.45">
      <c r="A315" t="s">
        <v>113</v>
      </c>
      <c r="B315" t="s">
        <v>657</v>
      </c>
      <c r="C315">
        <v>132058</v>
      </c>
      <c r="D315">
        <v>1621.33</v>
      </c>
      <c r="E315" s="9">
        <v>43651</v>
      </c>
    </row>
    <row r="316" spans="1:5" x14ac:dyDescent="0.45">
      <c r="A316" t="s">
        <v>113</v>
      </c>
      <c r="B316" t="s">
        <v>657</v>
      </c>
      <c r="C316">
        <v>151959</v>
      </c>
      <c r="D316">
        <v>1209.98</v>
      </c>
      <c r="E316" s="9">
        <v>43899</v>
      </c>
    </row>
    <row r="317" spans="1:5" x14ac:dyDescent="0.45">
      <c r="A317" t="s">
        <v>113</v>
      </c>
      <c r="B317" t="s">
        <v>657</v>
      </c>
      <c r="C317">
        <v>171663</v>
      </c>
      <c r="D317">
        <v>901.52</v>
      </c>
      <c r="E317" s="9">
        <v>44132</v>
      </c>
    </row>
    <row r="318" spans="1:5" x14ac:dyDescent="0.45">
      <c r="A318" t="s">
        <v>114</v>
      </c>
      <c r="B318" t="s">
        <v>564</v>
      </c>
      <c r="C318">
        <v>12892</v>
      </c>
      <c r="D318">
        <v>85.23</v>
      </c>
      <c r="E318" s="9">
        <v>43817</v>
      </c>
    </row>
    <row r="319" spans="1:5" x14ac:dyDescent="0.45">
      <c r="A319" t="s">
        <v>114</v>
      </c>
      <c r="B319" t="s">
        <v>564</v>
      </c>
      <c r="C319">
        <v>23473</v>
      </c>
      <c r="D319">
        <v>68.58</v>
      </c>
      <c r="E319" s="9">
        <v>43992</v>
      </c>
    </row>
    <row r="320" spans="1:5" x14ac:dyDescent="0.45">
      <c r="A320" t="s">
        <v>114</v>
      </c>
      <c r="B320" t="s">
        <v>564</v>
      </c>
      <c r="C320">
        <v>41095</v>
      </c>
      <c r="D320">
        <v>1256.98</v>
      </c>
      <c r="E320" s="9">
        <v>44176</v>
      </c>
    </row>
    <row r="321" spans="1:5" x14ac:dyDescent="0.45">
      <c r="A321" t="s">
        <v>115</v>
      </c>
      <c r="B321" t="s">
        <v>658</v>
      </c>
      <c r="C321">
        <v>7012</v>
      </c>
      <c r="D321">
        <v>48.95</v>
      </c>
      <c r="E321" s="9">
        <v>43728</v>
      </c>
    </row>
    <row r="322" spans="1:5" x14ac:dyDescent="0.45">
      <c r="A322" t="s">
        <v>115</v>
      </c>
      <c r="B322" t="s">
        <v>658</v>
      </c>
      <c r="C322">
        <v>13150</v>
      </c>
      <c r="D322">
        <v>69.95</v>
      </c>
      <c r="E322" s="9">
        <v>43796</v>
      </c>
    </row>
    <row r="323" spans="1:5" x14ac:dyDescent="0.45">
      <c r="A323" t="s">
        <v>115</v>
      </c>
      <c r="B323" t="s">
        <v>658</v>
      </c>
      <c r="C323">
        <v>20878</v>
      </c>
      <c r="D323">
        <v>48.95</v>
      </c>
      <c r="E323" s="9">
        <v>43899</v>
      </c>
    </row>
    <row r="324" spans="1:5" x14ac:dyDescent="0.45">
      <c r="A324" t="s">
        <v>115</v>
      </c>
      <c r="B324" t="s">
        <v>658</v>
      </c>
      <c r="C324">
        <v>30000</v>
      </c>
      <c r="D324">
        <v>54.95</v>
      </c>
      <c r="E324" s="9">
        <v>44012</v>
      </c>
    </row>
    <row r="325" spans="1:5" x14ac:dyDescent="0.45">
      <c r="A325" t="s">
        <v>115</v>
      </c>
      <c r="B325" t="s">
        <v>658</v>
      </c>
      <c r="C325">
        <v>37000</v>
      </c>
      <c r="D325">
        <v>89.95</v>
      </c>
      <c r="E325" s="9">
        <v>44083</v>
      </c>
    </row>
    <row r="326" spans="1:5" x14ac:dyDescent="0.45">
      <c r="A326" t="s">
        <v>116</v>
      </c>
      <c r="B326" t="s">
        <v>515</v>
      </c>
      <c r="C326">
        <v>80961</v>
      </c>
      <c r="D326">
        <v>503.94</v>
      </c>
      <c r="E326" s="9">
        <v>43865</v>
      </c>
    </row>
    <row r="327" spans="1:5" x14ac:dyDescent="0.45">
      <c r="A327" t="s">
        <v>116</v>
      </c>
      <c r="B327" t="s">
        <v>515</v>
      </c>
      <c r="C327">
        <v>75495</v>
      </c>
      <c r="D327">
        <v>129.86000000000001</v>
      </c>
      <c r="E327" s="9">
        <v>43759</v>
      </c>
    </row>
    <row r="328" spans="1:5" x14ac:dyDescent="0.45">
      <c r="A328" t="s">
        <v>116</v>
      </c>
      <c r="B328" t="s">
        <v>515</v>
      </c>
      <c r="C328">
        <v>66368</v>
      </c>
      <c r="D328">
        <v>63.95</v>
      </c>
      <c r="E328" s="9">
        <v>43567</v>
      </c>
    </row>
    <row r="329" spans="1:5" x14ac:dyDescent="0.45">
      <c r="A329" t="s">
        <v>116</v>
      </c>
      <c r="B329" t="s">
        <v>515</v>
      </c>
      <c r="C329">
        <v>57451</v>
      </c>
      <c r="D329">
        <v>595.24</v>
      </c>
      <c r="E329" s="9">
        <v>43406</v>
      </c>
    </row>
    <row r="330" spans="1:5" x14ac:dyDescent="0.45">
      <c r="A330" t="s">
        <v>116</v>
      </c>
      <c r="B330" t="s">
        <v>515</v>
      </c>
      <c r="C330">
        <v>52391</v>
      </c>
      <c r="D330">
        <v>544.29999999999995</v>
      </c>
      <c r="E330" s="9">
        <v>43304</v>
      </c>
    </row>
    <row r="331" spans="1:5" x14ac:dyDescent="0.45">
      <c r="A331" t="s">
        <v>116</v>
      </c>
      <c r="B331" t="s">
        <v>515</v>
      </c>
      <c r="C331">
        <v>47727</v>
      </c>
      <c r="D331">
        <v>368</v>
      </c>
      <c r="E331" s="9">
        <v>43182</v>
      </c>
    </row>
    <row r="332" spans="1:5" x14ac:dyDescent="0.45">
      <c r="A332" t="s">
        <v>116</v>
      </c>
      <c r="B332" t="s">
        <v>515</v>
      </c>
      <c r="C332">
        <v>47425</v>
      </c>
      <c r="D332">
        <v>100</v>
      </c>
      <c r="E332" s="9">
        <v>43178</v>
      </c>
    </row>
    <row r="333" spans="1:5" x14ac:dyDescent="0.45">
      <c r="A333" t="s">
        <v>116</v>
      </c>
      <c r="B333" t="s">
        <v>515</v>
      </c>
      <c r="C333">
        <v>46871</v>
      </c>
      <c r="D333">
        <v>138.21</v>
      </c>
      <c r="E333" s="9">
        <v>43161</v>
      </c>
    </row>
    <row r="334" spans="1:5" x14ac:dyDescent="0.45">
      <c r="A334" t="s">
        <v>116</v>
      </c>
      <c r="B334" t="s">
        <v>515</v>
      </c>
      <c r="C334">
        <v>46477</v>
      </c>
      <c r="D334">
        <v>125</v>
      </c>
      <c r="E334" s="9">
        <v>43147</v>
      </c>
    </row>
    <row r="335" spans="1:5" x14ac:dyDescent="0.45">
      <c r="A335" t="s">
        <v>116</v>
      </c>
      <c r="B335" t="s">
        <v>515</v>
      </c>
      <c r="C335">
        <v>45717</v>
      </c>
      <c r="D335">
        <v>43.97</v>
      </c>
      <c r="E335" s="9">
        <v>43125</v>
      </c>
    </row>
    <row r="336" spans="1:5" x14ac:dyDescent="0.45">
      <c r="A336" t="s">
        <v>116</v>
      </c>
      <c r="B336" t="s">
        <v>515</v>
      </c>
      <c r="C336">
        <v>51420</v>
      </c>
      <c r="D336">
        <v>40.79</v>
      </c>
      <c r="E336" s="9">
        <v>43016</v>
      </c>
    </row>
    <row r="337" spans="1:5" x14ac:dyDescent="0.45">
      <c r="A337" t="s">
        <v>116</v>
      </c>
      <c r="B337" t="s">
        <v>515</v>
      </c>
      <c r="C337">
        <v>37993</v>
      </c>
      <c r="D337">
        <v>500</v>
      </c>
      <c r="E337" s="9">
        <v>42850</v>
      </c>
    </row>
    <row r="338" spans="1:5" x14ac:dyDescent="0.45">
      <c r="A338" t="s">
        <v>116</v>
      </c>
      <c r="B338" t="s">
        <v>515</v>
      </c>
      <c r="C338">
        <v>33705</v>
      </c>
      <c r="D338">
        <v>125</v>
      </c>
      <c r="E338" s="9">
        <v>42706</v>
      </c>
    </row>
    <row r="339" spans="1:5" x14ac:dyDescent="0.45">
      <c r="A339" t="s">
        <v>116</v>
      </c>
      <c r="B339" t="s">
        <v>515</v>
      </c>
      <c r="C339">
        <v>23898</v>
      </c>
      <c r="D339">
        <v>125</v>
      </c>
      <c r="E339" s="9">
        <v>42447</v>
      </c>
    </row>
    <row r="340" spans="1:5" x14ac:dyDescent="0.45">
      <c r="A340" t="s">
        <v>116</v>
      </c>
      <c r="B340" t="s">
        <v>515</v>
      </c>
      <c r="C340">
        <v>14348</v>
      </c>
      <c r="D340">
        <v>125</v>
      </c>
      <c r="E340" s="9">
        <v>42194</v>
      </c>
    </row>
    <row r="341" spans="1:5" x14ac:dyDescent="0.45">
      <c r="A341" t="s">
        <v>116</v>
      </c>
      <c r="B341" t="s">
        <v>515</v>
      </c>
      <c r="C341">
        <v>0</v>
      </c>
      <c r="D341">
        <v>125</v>
      </c>
      <c r="E341" s="9">
        <v>42005</v>
      </c>
    </row>
    <row r="342" spans="1:5" x14ac:dyDescent="0.45">
      <c r="A342" t="s">
        <v>117</v>
      </c>
      <c r="B342" t="s">
        <v>518</v>
      </c>
      <c r="C342">
        <v>155263</v>
      </c>
      <c r="D342">
        <v>80</v>
      </c>
      <c r="E342" s="9">
        <v>43845</v>
      </c>
    </row>
    <row r="343" spans="1:5" x14ac:dyDescent="0.45">
      <c r="A343" t="s">
        <v>117</v>
      </c>
      <c r="B343" t="s">
        <v>518</v>
      </c>
      <c r="C343">
        <v>139665</v>
      </c>
      <c r="D343">
        <v>875.19</v>
      </c>
      <c r="E343" s="9">
        <v>43586</v>
      </c>
    </row>
    <row r="344" spans="1:5" x14ac:dyDescent="0.45">
      <c r="A344" t="s">
        <v>117</v>
      </c>
      <c r="B344" t="s">
        <v>518</v>
      </c>
      <c r="C344">
        <v>137976</v>
      </c>
      <c r="D344">
        <v>63.14</v>
      </c>
      <c r="E344" s="9">
        <v>43560</v>
      </c>
    </row>
    <row r="345" spans="1:5" x14ac:dyDescent="0.45">
      <c r="A345" t="s">
        <v>117</v>
      </c>
      <c r="B345" t="s">
        <v>518</v>
      </c>
      <c r="C345">
        <v>124710</v>
      </c>
      <c r="D345">
        <v>149.28</v>
      </c>
      <c r="E345" s="9">
        <v>43418</v>
      </c>
    </row>
    <row r="346" spans="1:5" x14ac:dyDescent="0.45">
      <c r="A346" t="s">
        <v>117</v>
      </c>
      <c r="B346" t="s">
        <v>518</v>
      </c>
      <c r="C346">
        <v>111972</v>
      </c>
      <c r="D346">
        <v>125</v>
      </c>
      <c r="E346" s="9">
        <v>43178</v>
      </c>
    </row>
    <row r="347" spans="1:5" x14ac:dyDescent="0.45">
      <c r="A347" t="s">
        <v>117</v>
      </c>
      <c r="B347" t="s">
        <v>518</v>
      </c>
      <c r="C347">
        <v>111972</v>
      </c>
      <c r="D347">
        <v>100</v>
      </c>
      <c r="E347" s="9">
        <v>43178</v>
      </c>
    </row>
    <row r="348" spans="1:5" x14ac:dyDescent="0.45">
      <c r="A348" t="s">
        <v>117</v>
      </c>
      <c r="B348" t="s">
        <v>518</v>
      </c>
      <c r="C348">
        <v>111222</v>
      </c>
      <c r="D348">
        <v>3438.5</v>
      </c>
      <c r="E348" s="9">
        <v>43161</v>
      </c>
    </row>
    <row r="349" spans="1:5" x14ac:dyDescent="0.45">
      <c r="A349" t="s">
        <v>117</v>
      </c>
      <c r="B349" t="s">
        <v>518</v>
      </c>
      <c r="C349">
        <v>89823</v>
      </c>
      <c r="D349">
        <v>315</v>
      </c>
      <c r="E349" s="9">
        <v>42713</v>
      </c>
    </row>
    <row r="350" spans="1:5" x14ac:dyDescent="0.45">
      <c r="A350" t="s">
        <v>117</v>
      </c>
      <c r="B350" t="s">
        <v>518</v>
      </c>
      <c r="C350">
        <v>82896</v>
      </c>
      <c r="D350">
        <v>125</v>
      </c>
      <c r="E350" s="9">
        <v>42634</v>
      </c>
    </row>
    <row r="351" spans="1:5" x14ac:dyDescent="0.45">
      <c r="A351" t="s">
        <v>117</v>
      </c>
      <c r="B351" t="s">
        <v>518</v>
      </c>
      <c r="C351">
        <v>70849</v>
      </c>
      <c r="D351">
        <v>1125</v>
      </c>
      <c r="E351" s="9">
        <v>42291</v>
      </c>
    </row>
    <row r="352" spans="1:5" x14ac:dyDescent="0.45">
      <c r="A352" t="s">
        <v>117</v>
      </c>
      <c r="B352" t="s">
        <v>518</v>
      </c>
      <c r="C352">
        <v>63538</v>
      </c>
      <c r="D352">
        <v>125</v>
      </c>
      <c r="E352" s="9">
        <v>42198</v>
      </c>
    </row>
    <row r="353" spans="1:5" x14ac:dyDescent="0.45">
      <c r="A353" t="s">
        <v>117</v>
      </c>
      <c r="B353" t="s">
        <v>518</v>
      </c>
      <c r="C353">
        <v>58008</v>
      </c>
      <c r="D353">
        <v>100</v>
      </c>
      <c r="E353" s="9">
        <v>42132</v>
      </c>
    </row>
    <row r="354" spans="1:5" x14ac:dyDescent="0.45">
      <c r="A354" t="s">
        <v>117</v>
      </c>
      <c r="B354" t="s">
        <v>518</v>
      </c>
      <c r="C354">
        <v>53416</v>
      </c>
      <c r="D354">
        <v>125</v>
      </c>
      <c r="E354" s="9">
        <v>42076</v>
      </c>
    </row>
    <row r="355" spans="1:5" x14ac:dyDescent="0.45">
      <c r="A355" t="s">
        <v>117</v>
      </c>
      <c r="B355" t="s">
        <v>518</v>
      </c>
      <c r="C355">
        <v>0</v>
      </c>
      <c r="D355">
        <v>125</v>
      </c>
      <c r="E355" s="9">
        <v>42005</v>
      </c>
    </row>
    <row r="356" spans="1:5" x14ac:dyDescent="0.45">
      <c r="A356" t="s">
        <v>117</v>
      </c>
      <c r="B356" t="s">
        <v>518</v>
      </c>
      <c r="C356">
        <v>44617</v>
      </c>
      <c r="D356">
        <v>125</v>
      </c>
      <c r="E356" s="9">
        <v>41981</v>
      </c>
    </row>
    <row r="357" spans="1:5" x14ac:dyDescent="0.45">
      <c r="A357" t="s">
        <v>117</v>
      </c>
      <c r="B357" t="s">
        <v>518</v>
      </c>
      <c r="C357">
        <v>36989</v>
      </c>
      <c r="D357">
        <v>125</v>
      </c>
      <c r="E357" s="9">
        <v>41890</v>
      </c>
    </row>
    <row r="358" spans="1:5" x14ac:dyDescent="0.45">
      <c r="A358" t="s">
        <v>117</v>
      </c>
      <c r="B358" t="s">
        <v>518</v>
      </c>
      <c r="C358">
        <v>31714</v>
      </c>
      <c r="D358">
        <v>125</v>
      </c>
      <c r="E358" s="9">
        <v>41823</v>
      </c>
    </row>
    <row r="359" spans="1:5" x14ac:dyDescent="0.45">
      <c r="A359" t="s">
        <v>117</v>
      </c>
      <c r="B359" t="s">
        <v>518</v>
      </c>
      <c r="C359">
        <v>24686</v>
      </c>
      <c r="D359">
        <v>1000</v>
      </c>
      <c r="E359" s="9">
        <v>41740</v>
      </c>
    </row>
    <row r="360" spans="1:5" x14ac:dyDescent="0.45">
      <c r="A360" t="s">
        <v>118</v>
      </c>
      <c r="B360" t="s">
        <v>522</v>
      </c>
      <c r="C360">
        <v>146021</v>
      </c>
      <c r="D360">
        <v>2669.31</v>
      </c>
      <c r="E360" s="9">
        <v>43789</v>
      </c>
    </row>
    <row r="361" spans="1:5" x14ac:dyDescent="0.45">
      <c r="A361" t="s">
        <v>118</v>
      </c>
      <c r="B361" t="s">
        <v>522</v>
      </c>
      <c r="C361">
        <v>132347</v>
      </c>
      <c r="D361">
        <v>198.44</v>
      </c>
      <c r="E361" s="9">
        <v>43615</v>
      </c>
    </row>
    <row r="362" spans="1:5" x14ac:dyDescent="0.45">
      <c r="A362" t="s">
        <v>118</v>
      </c>
      <c r="B362" t="s">
        <v>522</v>
      </c>
      <c r="C362">
        <v>130</v>
      </c>
      <c r="D362">
        <v>421.51</v>
      </c>
      <c r="E362" s="9">
        <v>43586</v>
      </c>
    </row>
    <row r="363" spans="1:5" x14ac:dyDescent="0.45">
      <c r="A363" t="s">
        <v>118</v>
      </c>
      <c r="B363" t="s">
        <v>522</v>
      </c>
      <c r="C363">
        <v>127379</v>
      </c>
      <c r="D363">
        <v>295.3</v>
      </c>
      <c r="E363" s="9">
        <v>43543</v>
      </c>
    </row>
    <row r="364" spans="1:5" x14ac:dyDescent="0.45">
      <c r="A364" t="s">
        <v>118</v>
      </c>
      <c r="B364" t="s">
        <v>522</v>
      </c>
      <c r="C364">
        <v>120523</v>
      </c>
      <c r="D364">
        <v>1651</v>
      </c>
      <c r="E364" s="9">
        <v>43403</v>
      </c>
    </row>
    <row r="365" spans="1:5" x14ac:dyDescent="0.45">
      <c r="A365" t="s">
        <v>118</v>
      </c>
      <c r="B365" t="s">
        <v>522</v>
      </c>
      <c r="C365">
        <v>114449</v>
      </c>
      <c r="D365">
        <v>983.07</v>
      </c>
      <c r="E365" s="9">
        <v>43339</v>
      </c>
    </row>
    <row r="366" spans="1:5" x14ac:dyDescent="0.45">
      <c r="A366" t="s">
        <v>118</v>
      </c>
      <c r="B366" t="s">
        <v>522</v>
      </c>
      <c r="C366">
        <v>113660</v>
      </c>
      <c r="D366">
        <v>462.75</v>
      </c>
      <c r="E366" s="9">
        <v>43322</v>
      </c>
    </row>
    <row r="367" spans="1:5" x14ac:dyDescent="0.45">
      <c r="A367" t="s">
        <v>118</v>
      </c>
      <c r="B367" t="s">
        <v>522</v>
      </c>
      <c r="C367">
        <v>108224</v>
      </c>
      <c r="D367">
        <v>526.11</v>
      </c>
      <c r="E367" s="9">
        <v>43273</v>
      </c>
    </row>
    <row r="368" spans="1:5" x14ac:dyDescent="0.45">
      <c r="A368" t="s">
        <v>118</v>
      </c>
      <c r="B368" t="s">
        <v>522</v>
      </c>
      <c r="C368">
        <v>97959</v>
      </c>
      <c r="D368">
        <v>368</v>
      </c>
      <c r="E368" s="9">
        <v>43181</v>
      </c>
    </row>
    <row r="369" spans="1:5" x14ac:dyDescent="0.45">
      <c r="A369" t="s">
        <v>118</v>
      </c>
      <c r="B369" t="s">
        <v>522</v>
      </c>
      <c r="C369">
        <v>97648</v>
      </c>
      <c r="D369">
        <v>100</v>
      </c>
      <c r="E369" s="9">
        <v>43178</v>
      </c>
    </row>
    <row r="370" spans="1:5" x14ac:dyDescent="0.45">
      <c r="A370" t="s">
        <v>118</v>
      </c>
      <c r="B370" t="s">
        <v>522</v>
      </c>
      <c r="C370">
        <v>97305</v>
      </c>
      <c r="D370">
        <v>37.590000000000003</v>
      </c>
      <c r="E370" s="9">
        <v>43178</v>
      </c>
    </row>
    <row r="371" spans="1:5" x14ac:dyDescent="0.45">
      <c r="A371" t="s">
        <v>118</v>
      </c>
      <c r="B371" t="s">
        <v>522</v>
      </c>
      <c r="C371">
        <v>97648</v>
      </c>
      <c r="D371">
        <v>100</v>
      </c>
      <c r="E371" s="9">
        <v>43178</v>
      </c>
    </row>
    <row r="372" spans="1:5" x14ac:dyDescent="0.45">
      <c r="A372" t="s">
        <v>118</v>
      </c>
      <c r="B372" t="s">
        <v>522</v>
      </c>
      <c r="C372">
        <v>87638</v>
      </c>
      <c r="D372">
        <v>0</v>
      </c>
      <c r="E372" s="9">
        <v>43013</v>
      </c>
    </row>
    <row r="373" spans="1:5" x14ac:dyDescent="0.45">
      <c r="A373" t="s">
        <v>118</v>
      </c>
      <c r="B373" t="s">
        <v>522</v>
      </c>
      <c r="C373">
        <v>94000</v>
      </c>
      <c r="D373">
        <v>62.97</v>
      </c>
      <c r="E373" s="9">
        <v>42996</v>
      </c>
    </row>
    <row r="374" spans="1:5" x14ac:dyDescent="0.45">
      <c r="A374" t="s">
        <v>118</v>
      </c>
      <c r="B374" t="s">
        <v>522</v>
      </c>
      <c r="C374">
        <v>77900</v>
      </c>
      <c r="D374">
        <v>125</v>
      </c>
      <c r="E374" s="9">
        <v>42849</v>
      </c>
    </row>
    <row r="375" spans="1:5" x14ac:dyDescent="0.45">
      <c r="A375" t="s">
        <v>118</v>
      </c>
      <c r="B375" t="s">
        <v>522</v>
      </c>
      <c r="C375">
        <v>68313</v>
      </c>
      <c r="D375">
        <v>125</v>
      </c>
      <c r="E375" s="9">
        <v>42703</v>
      </c>
    </row>
    <row r="376" spans="1:5" x14ac:dyDescent="0.45">
      <c r="A376" t="s">
        <v>118</v>
      </c>
      <c r="B376" t="s">
        <v>522</v>
      </c>
      <c r="C376">
        <v>58106</v>
      </c>
      <c r="D376">
        <v>125</v>
      </c>
      <c r="E376" s="9">
        <v>42579</v>
      </c>
    </row>
    <row r="377" spans="1:5" x14ac:dyDescent="0.45">
      <c r="A377" t="s">
        <v>118</v>
      </c>
      <c r="B377" t="s">
        <v>522</v>
      </c>
      <c r="C377">
        <v>48343</v>
      </c>
      <c r="D377">
        <v>125</v>
      </c>
      <c r="E377" s="9">
        <v>42464</v>
      </c>
    </row>
    <row r="378" spans="1:5" x14ac:dyDescent="0.45">
      <c r="A378" t="s">
        <v>118</v>
      </c>
      <c r="B378" t="s">
        <v>522</v>
      </c>
      <c r="C378">
        <v>38447</v>
      </c>
      <c r="D378">
        <v>125</v>
      </c>
      <c r="E378" s="9">
        <v>42338</v>
      </c>
    </row>
    <row r="379" spans="1:5" x14ac:dyDescent="0.45">
      <c r="A379" t="s">
        <v>118</v>
      </c>
      <c r="B379" t="s">
        <v>522</v>
      </c>
      <c r="C379">
        <v>29989</v>
      </c>
      <c r="D379">
        <v>1000</v>
      </c>
      <c r="E379" s="9">
        <v>42158</v>
      </c>
    </row>
    <row r="380" spans="1:5" x14ac:dyDescent="0.45">
      <c r="A380" t="s">
        <v>118</v>
      </c>
      <c r="B380" t="s">
        <v>522</v>
      </c>
      <c r="C380">
        <v>0</v>
      </c>
      <c r="D380">
        <v>125</v>
      </c>
      <c r="E380" s="9">
        <v>42005</v>
      </c>
    </row>
    <row r="381" spans="1:5" x14ac:dyDescent="0.45">
      <c r="A381" t="s">
        <v>119</v>
      </c>
      <c r="B381" t="s">
        <v>527</v>
      </c>
      <c r="C381">
        <v>171875</v>
      </c>
      <c r="D381">
        <v>510.07</v>
      </c>
      <c r="E381" s="9">
        <v>43998</v>
      </c>
    </row>
    <row r="382" spans="1:5" x14ac:dyDescent="0.45">
      <c r="A382" t="s">
        <v>119</v>
      </c>
      <c r="B382" t="s">
        <v>527</v>
      </c>
      <c r="C382">
        <v>163347</v>
      </c>
      <c r="D382">
        <v>928.32</v>
      </c>
      <c r="E382" s="9">
        <v>43872</v>
      </c>
    </row>
    <row r="383" spans="1:5" x14ac:dyDescent="0.45">
      <c r="A383" t="s">
        <v>119</v>
      </c>
      <c r="B383" t="s">
        <v>527</v>
      </c>
      <c r="C383">
        <v>161508</v>
      </c>
      <c r="D383">
        <v>74.010000000000005</v>
      </c>
      <c r="E383" s="9">
        <v>43845</v>
      </c>
    </row>
    <row r="384" spans="1:5" x14ac:dyDescent="0.45">
      <c r="A384" t="s">
        <v>119</v>
      </c>
      <c r="B384" t="s">
        <v>527</v>
      </c>
      <c r="C384">
        <v>153020</v>
      </c>
      <c r="D384">
        <v>684.3</v>
      </c>
      <c r="E384" s="9">
        <v>43622</v>
      </c>
    </row>
    <row r="385" spans="1:5" x14ac:dyDescent="0.45">
      <c r="A385" t="s">
        <v>119</v>
      </c>
      <c r="B385" t="s">
        <v>527</v>
      </c>
      <c r="C385">
        <v>151684</v>
      </c>
      <c r="D385">
        <v>350.96</v>
      </c>
      <c r="E385" s="9">
        <v>43599</v>
      </c>
    </row>
    <row r="386" spans="1:5" x14ac:dyDescent="0.45">
      <c r="A386" t="s">
        <v>119</v>
      </c>
      <c r="B386" t="s">
        <v>527</v>
      </c>
      <c r="C386">
        <v>148292</v>
      </c>
      <c r="D386">
        <v>509.25</v>
      </c>
      <c r="E386" s="9">
        <v>43531</v>
      </c>
    </row>
    <row r="387" spans="1:5" x14ac:dyDescent="0.45">
      <c r="A387" t="s">
        <v>119</v>
      </c>
      <c r="B387" t="s">
        <v>527</v>
      </c>
      <c r="C387">
        <v>143574</v>
      </c>
      <c r="D387">
        <v>42.3</v>
      </c>
      <c r="E387" s="9">
        <v>43468</v>
      </c>
    </row>
    <row r="388" spans="1:5" x14ac:dyDescent="0.45">
      <c r="A388" t="s">
        <v>119</v>
      </c>
      <c r="B388" t="s">
        <v>527</v>
      </c>
      <c r="C388">
        <v>138669</v>
      </c>
      <c r="D388">
        <v>149.28</v>
      </c>
      <c r="E388" s="9">
        <v>43403</v>
      </c>
    </row>
    <row r="389" spans="1:5" x14ac:dyDescent="0.45">
      <c r="A389" t="s">
        <v>119</v>
      </c>
      <c r="B389" t="s">
        <v>527</v>
      </c>
      <c r="C389">
        <v>134273</v>
      </c>
      <c r="D389">
        <v>405.75</v>
      </c>
      <c r="E389" s="9">
        <v>43308</v>
      </c>
    </row>
    <row r="390" spans="1:5" x14ac:dyDescent="0.45">
      <c r="A390" t="s">
        <v>119</v>
      </c>
      <c r="B390" t="s">
        <v>527</v>
      </c>
      <c r="C390">
        <v>128291</v>
      </c>
      <c r="D390">
        <v>406.6</v>
      </c>
      <c r="E390" s="9">
        <v>43237</v>
      </c>
    </row>
    <row r="391" spans="1:5" x14ac:dyDescent="0.45">
      <c r="A391" t="s">
        <v>119</v>
      </c>
      <c r="B391" t="s">
        <v>527</v>
      </c>
      <c r="C391">
        <v>125958</v>
      </c>
      <c r="D391">
        <v>40.79</v>
      </c>
      <c r="E391" s="9">
        <v>43208</v>
      </c>
    </row>
    <row r="392" spans="1:5" x14ac:dyDescent="0.45">
      <c r="A392" t="s">
        <v>119</v>
      </c>
      <c r="B392" t="s">
        <v>527</v>
      </c>
      <c r="C392">
        <v>123930</v>
      </c>
      <c r="D392">
        <v>100</v>
      </c>
      <c r="E392" s="9">
        <v>43178</v>
      </c>
    </row>
    <row r="393" spans="1:5" x14ac:dyDescent="0.45">
      <c r="A393" t="s">
        <v>119</v>
      </c>
      <c r="B393" t="s">
        <v>527</v>
      </c>
      <c r="C393">
        <v>122758</v>
      </c>
      <c r="D393">
        <v>137.74</v>
      </c>
      <c r="E393" s="9">
        <v>43164</v>
      </c>
    </row>
    <row r="394" spans="1:5" x14ac:dyDescent="0.45">
      <c r="A394" t="s">
        <v>119</v>
      </c>
      <c r="B394" t="s">
        <v>527</v>
      </c>
      <c r="C394">
        <v>121233</v>
      </c>
      <c r="D394">
        <v>80</v>
      </c>
      <c r="E394" s="9">
        <v>43147</v>
      </c>
    </row>
    <row r="395" spans="1:5" x14ac:dyDescent="0.45">
      <c r="A395" t="s">
        <v>119</v>
      </c>
      <c r="B395" t="s">
        <v>527</v>
      </c>
      <c r="C395">
        <v>122341</v>
      </c>
      <c r="D395">
        <v>204</v>
      </c>
      <c r="E395" s="9">
        <v>43119</v>
      </c>
    </row>
    <row r="396" spans="1:5" x14ac:dyDescent="0.45">
      <c r="A396" t="s">
        <v>119</v>
      </c>
      <c r="B396" t="s">
        <v>527</v>
      </c>
      <c r="C396">
        <v>121934</v>
      </c>
      <c r="D396">
        <v>43.97</v>
      </c>
      <c r="E396" s="9">
        <v>43108</v>
      </c>
    </row>
    <row r="397" spans="1:5" x14ac:dyDescent="0.45">
      <c r="A397" t="s">
        <v>119</v>
      </c>
      <c r="B397" t="s">
        <v>527</v>
      </c>
      <c r="C397">
        <v>115877</v>
      </c>
      <c r="D397">
        <v>63.47</v>
      </c>
      <c r="E397" s="9">
        <v>43073</v>
      </c>
    </row>
    <row r="398" spans="1:5" x14ac:dyDescent="0.45">
      <c r="A398" t="s">
        <v>119</v>
      </c>
      <c r="B398" t="s">
        <v>527</v>
      </c>
      <c r="C398">
        <v>95043</v>
      </c>
      <c r="D398">
        <v>125</v>
      </c>
      <c r="E398" s="9">
        <v>42786</v>
      </c>
    </row>
    <row r="399" spans="1:5" x14ac:dyDescent="0.45">
      <c r="A399" t="s">
        <v>119</v>
      </c>
      <c r="B399" t="s">
        <v>527</v>
      </c>
      <c r="C399">
        <v>85385</v>
      </c>
      <c r="D399">
        <v>125</v>
      </c>
      <c r="E399" s="9">
        <v>42601</v>
      </c>
    </row>
    <row r="400" spans="1:5" x14ac:dyDescent="0.45">
      <c r="A400" t="s">
        <v>119</v>
      </c>
      <c r="B400" t="s">
        <v>527</v>
      </c>
      <c r="C400">
        <v>82058</v>
      </c>
      <c r="D400">
        <v>100</v>
      </c>
      <c r="E400" s="9">
        <v>42548</v>
      </c>
    </row>
    <row r="401" spans="1:5" x14ac:dyDescent="0.45">
      <c r="A401" t="s">
        <v>119</v>
      </c>
      <c r="B401" t="s">
        <v>527</v>
      </c>
      <c r="C401">
        <v>78175</v>
      </c>
      <c r="D401">
        <v>200</v>
      </c>
      <c r="E401" s="9">
        <v>42480</v>
      </c>
    </row>
    <row r="402" spans="1:5" x14ac:dyDescent="0.45">
      <c r="A402" t="s">
        <v>119</v>
      </c>
      <c r="B402" t="s">
        <v>527</v>
      </c>
      <c r="C402">
        <v>74613</v>
      </c>
      <c r="D402">
        <v>125</v>
      </c>
      <c r="E402" s="9">
        <v>42440</v>
      </c>
    </row>
    <row r="403" spans="1:5" x14ac:dyDescent="0.45">
      <c r="A403" t="s">
        <v>119</v>
      </c>
      <c r="B403" t="s">
        <v>527</v>
      </c>
      <c r="C403">
        <v>68637</v>
      </c>
      <c r="D403">
        <v>125</v>
      </c>
      <c r="E403" s="9">
        <v>42368</v>
      </c>
    </row>
    <row r="404" spans="1:5" x14ac:dyDescent="0.45">
      <c r="A404" t="s">
        <v>119</v>
      </c>
      <c r="B404" t="s">
        <v>527</v>
      </c>
      <c r="C404">
        <v>59454</v>
      </c>
      <c r="D404">
        <v>125</v>
      </c>
      <c r="E404" s="9">
        <v>42278</v>
      </c>
    </row>
    <row r="405" spans="1:5" x14ac:dyDescent="0.45">
      <c r="A405" t="s">
        <v>119</v>
      </c>
      <c r="B405" t="s">
        <v>527</v>
      </c>
      <c r="C405">
        <v>50500</v>
      </c>
      <c r="D405">
        <v>125</v>
      </c>
      <c r="E405" s="9">
        <v>42173</v>
      </c>
    </row>
    <row r="406" spans="1:5" x14ac:dyDescent="0.45">
      <c r="A406" t="s">
        <v>119</v>
      </c>
      <c r="B406" t="s">
        <v>527</v>
      </c>
      <c r="C406">
        <v>45560</v>
      </c>
      <c r="D406">
        <v>1100</v>
      </c>
      <c r="E406" s="9">
        <v>42124</v>
      </c>
    </row>
    <row r="407" spans="1:5" x14ac:dyDescent="0.45">
      <c r="A407" t="s">
        <v>119</v>
      </c>
      <c r="B407" t="s">
        <v>527</v>
      </c>
      <c r="C407">
        <v>41695</v>
      </c>
      <c r="D407">
        <v>125</v>
      </c>
      <c r="E407" s="9">
        <v>42074</v>
      </c>
    </row>
    <row r="408" spans="1:5" x14ac:dyDescent="0.45">
      <c r="A408" t="s">
        <v>119</v>
      </c>
      <c r="B408" t="s">
        <v>527</v>
      </c>
      <c r="C408">
        <v>0</v>
      </c>
      <c r="D408">
        <v>125</v>
      </c>
      <c r="E408" s="9">
        <v>42005</v>
      </c>
    </row>
    <row r="409" spans="1:5" x14ac:dyDescent="0.45">
      <c r="A409" t="s">
        <v>120</v>
      </c>
      <c r="B409" t="s">
        <v>531</v>
      </c>
      <c r="C409">
        <v>170892</v>
      </c>
      <c r="D409">
        <v>59.78</v>
      </c>
      <c r="E409" s="9">
        <v>43978</v>
      </c>
    </row>
    <row r="410" spans="1:5" x14ac:dyDescent="0.45">
      <c r="A410" t="s">
        <v>120</v>
      </c>
      <c r="B410" t="s">
        <v>531</v>
      </c>
      <c r="C410">
        <v>162229</v>
      </c>
      <c r="D410">
        <v>292.87</v>
      </c>
      <c r="E410" s="9">
        <v>43901</v>
      </c>
    </row>
    <row r="411" spans="1:5" x14ac:dyDescent="0.45">
      <c r="A411" t="s">
        <v>120</v>
      </c>
      <c r="B411" t="s">
        <v>531</v>
      </c>
      <c r="C411">
        <v>162228</v>
      </c>
      <c r="D411">
        <v>47.99</v>
      </c>
      <c r="E411" s="9">
        <v>43880</v>
      </c>
    </row>
    <row r="412" spans="1:5" x14ac:dyDescent="0.45">
      <c r="A412" t="s">
        <v>120</v>
      </c>
      <c r="B412" t="s">
        <v>531</v>
      </c>
      <c r="C412">
        <v>147907</v>
      </c>
      <c r="D412">
        <v>261.2</v>
      </c>
      <c r="E412" s="9">
        <v>43816</v>
      </c>
    </row>
    <row r="413" spans="1:5" x14ac:dyDescent="0.45">
      <c r="A413" t="s">
        <v>120</v>
      </c>
      <c r="B413" t="s">
        <v>531</v>
      </c>
      <c r="C413">
        <v>150874</v>
      </c>
      <c r="D413">
        <v>173.9</v>
      </c>
      <c r="E413" s="9">
        <v>43761</v>
      </c>
    </row>
    <row r="414" spans="1:5" x14ac:dyDescent="0.45">
      <c r="A414" t="s">
        <v>120</v>
      </c>
      <c r="B414" t="s">
        <v>531</v>
      </c>
      <c r="C414">
        <v>136613</v>
      </c>
      <c r="D414">
        <v>63.14</v>
      </c>
      <c r="E414" s="9">
        <v>43511</v>
      </c>
    </row>
    <row r="415" spans="1:5" x14ac:dyDescent="0.45">
      <c r="A415" t="s">
        <v>120</v>
      </c>
      <c r="B415" t="s">
        <v>531</v>
      </c>
      <c r="C415">
        <v>132492</v>
      </c>
      <c r="D415">
        <v>267.26</v>
      </c>
      <c r="E415" s="9">
        <v>43444</v>
      </c>
    </row>
    <row r="416" spans="1:5" x14ac:dyDescent="0.45">
      <c r="A416" t="s">
        <v>120</v>
      </c>
      <c r="B416" t="s">
        <v>531</v>
      </c>
      <c r="C416">
        <v>131514</v>
      </c>
      <c r="D416">
        <v>797.32</v>
      </c>
      <c r="E416" s="9">
        <v>43430</v>
      </c>
    </row>
    <row r="417" spans="1:5" x14ac:dyDescent="0.45">
      <c r="A417" t="s">
        <v>120</v>
      </c>
      <c r="B417" t="s">
        <v>531</v>
      </c>
      <c r="C417">
        <v>126280</v>
      </c>
      <c r="D417">
        <v>376.54</v>
      </c>
      <c r="E417" s="9">
        <v>43355</v>
      </c>
    </row>
    <row r="418" spans="1:5" x14ac:dyDescent="0.45">
      <c r="A418" t="s">
        <v>120</v>
      </c>
      <c r="B418" t="s">
        <v>531</v>
      </c>
      <c r="C418">
        <v>117119</v>
      </c>
      <c r="D418">
        <v>891.92</v>
      </c>
      <c r="E418" s="9">
        <v>43279</v>
      </c>
    </row>
    <row r="419" spans="1:5" x14ac:dyDescent="0.45">
      <c r="A419" t="s">
        <v>120</v>
      </c>
      <c r="B419" t="s">
        <v>531</v>
      </c>
      <c r="C419">
        <v>120068</v>
      </c>
      <c r="D419">
        <v>1980.36</v>
      </c>
      <c r="E419" s="9">
        <v>43279</v>
      </c>
    </row>
    <row r="420" spans="1:5" x14ac:dyDescent="0.45">
      <c r="A420" t="s">
        <v>120</v>
      </c>
      <c r="B420" t="s">
        <v>531</v>
      </c>
      <c r="C420">
        <v>120046</v>
      </c>
      <c r="D420">
        <v>100</v>
      </c>
      <c r="E420" s="9">
        <v>43178</v>
      </c>
    </row>
    <row r="421" spans="1:5" x14ac:dyDescent="0.45">
      <c r="A421" t="s">
        <v>120</v>
      </c>
      <c r="B421" t="s">
        <v>531</v>
      </c>
      <c r="C421">
        <v>120267</v>
      </c>
      <c r="D421">
        <v>107.44</v>
      </c>
      <c r="E421" s="9">
        <v>43118</v>
      </c>
    </row>
    <row r="422" spans="1:5" x14ac:dyDescent="0.45">
      <c r="A422" t="s">
        <v>120</v>
      </c>
      <c r="B422" t="s">
        <v>531</v>
      </c>
      <c r="C422">
        <v>116154</v>
      </c>
      <c r="D422">
        <v>42.85</v>
      </c>
      <c r="E422" s="9">
        <v>43108</v>
      </c>
    </row>
    <row r="423" spans="1:5" x14ac:dyDescent="0.45">
      <c r="A423" t="s">
        <v>120</v>
      </c>
      <c r="B423" t="s">
        <v>531</v>
      </c>
      <c r="C423">
        <v>105067</v>
      </c>
      <c r="D423">
        <v>0</v>
      </c>
      <c r="E423" s="9">
        <v>42898</v>
      </c>
    </row>
    <row r="424" spans="1:5" x14ac:dyDescent="0.45">
      <c r="A424" t="s">
        <v>120</v>
      </c>
      <c r="B424" t="s">
        <v>531</v>
      </c>
      <c r="C424">
        <v>90433</v>
      </c>
      <c r="D424">
        <v>125</v>
      </c>
      <c r="E424" s="9">
        <v>42727</v>
      </c>
    </row>
    <row r="425" spans="1:5" x14ac:dyDescent="0.45">
      <c r="A425" t="s">
        <v>120</v>
      </c>
      <c r="B425" t="s">
        <v>531</v>
      </c>
      <c r="C425">
        <v>87441</v>
      </c>
      <c r="D425">
        <v>560</v>
      </c>
      <c r="E425" s="9">
        <v>42681</v>
      </c>
    </row>
    <row r="426" spans="1:5" x14ac:dyDescent="0.45">
      <c r="A426" t="s">
        <v>120</v>
      </c>
      <c r="B426" t="s">
        <v>531</v>
      </c>
      <c r="C426">
        <v>80000</v>
      </c>
      <c r="D426">
        <v>125</v>
      </c>
      <c r="E426" s="9">
        <v>42577</v>
      </c>
    </row>
    <row r="427" spans="1:5" x14ac:dyDescent="0.45">
      <c r="A427" t="s">
        <v>120</v>
      </c>
      <c r="B427" t="s">
        <v>531</v>
      </c>
      <c r="C427">
        <v>69618</v>
      </c>
      <c r="D427">
        <v>125</v>
      </c>
      <c r="E427" s="9">
        <v>42460</v>
      </c>
    </row>
    <row r="428" spans="1:5" x14ac:dyDescent="0.45">
      <c r="A428" t="s">
        <v>120</v>
      </c>
      <c r="B428" t="s">
        <v>531</v>
      </c>
      <c r="C428">
        <v>63528</v>
      </c>
      <c r="D428">
        <v>20</v>
      </c>
      <c r="E428" s="9">
        <v>42374</v>
      </c>
    </row>
    <row r="429" spans="1:5" x14ac:dyDescent="0.45">
      <c r="A429" t="s">
        <v>120</v>
      </c>
      <c r="B429" t="s">
        <v>531</v>
      </c>
      <c r="C429">
        <v>59590</v>
      </c>
      <c r="D429">
        <v>650</v>
      </c>
      <c r="E429" s="9">
        <v>42324</v>
      </c>
    </row>
    <row r="430" spans="1:5" x14ac:dyDescent="0.45">
      <c r="A430" t="s">
        <v>120</v>
      </c>
      <c r="B430" t="s">
        <v>531</v>
      </c>
      <c r="C430">
        <v>48618</v>
      </c>
      <c r="D430">
        <v>125</v>
      </c>
      <c r="E430" s="9">
        <v>42216</v>
      </c>
    </row>
    <row r="431" spans="1:5" x14ac:dyDescent="0.45">
      <c r="A431" t="s">
        <v>120</v>
      </c>
      <c r="B431" t="s">
        <v>531</v>
      </c>
      <c r="C431">
        <v>38833</v>
      </c>
      <c r="D431">
        <v>125</v>
      </c>
      <c r="E431" s="9">
        <v>42072</v>
      </c>
    </row>
    <row r="432" spans="1:5" x14ac:dyDescent="0.45">
      <c r="A432" t="s">
        <v>120</v>
      </c>
      <c r="B432" t="s">
        <v>531</v>
      </c>
      <c r="C432">
        <v>0</v>
      </c>
      <c r="D432">
        <v>125</v>
      </c>
      <c r="E432" s="9">
        <v>42005</v>
      </c>
    </row>
    <row r="433" spans="1:5" x14ac:dyDescent="0.45">
      <c r="A433" t="s">
        <v>121</v>
      </c>
      <c r="B433" t="s">
        <v>534</v>
      </c>
      <c r="C433">
        <v>224259</v>
      </c>
      <c r="D433">
        <v>42.47</v>
      </c>
      <c r="E433" s="9">
        <v>43556</v>
      </c>
    </row>
    <row r="434" spans="1:5" x14ac:dyDescent="0.45">
      <c r="A434" t="s">
        <v>121</v>
      </c>
      <c r="B434" t="s">
        <v>534</v>
      </c>
      <c r="C434">
        <v>219366</v>
      </c>
      <c r="D434">
        <v>173.33</v>
      </c>
      <c r="E434" s="9">
        <v>43498</v>
      </c>
    </row>
    <row r="435" spans="1:5" x14ac:dyDescent="0.45">
      <c r="A435" t="s">
        <v>121</v>
      </c>
      <c r="B435" t="s">
        <v>534</v>
      </c>
      <c r="C435">
        <v>219244</v>
      </c>
      <c r="D435">
        <v>478.39</v>
      </c>
      <c r="E435" s="9">
        <v>43496</v>
      </c>
    </row>
    <row r="436" spans="1:5" x14ac:dyDescent="0.45">
      <c r="A436" t="s">
        <v>121</v>
      </c>
      <c r="B436" t="s">
        <v>534</v>
      </c>
      <c r="C436">
        <v>216091</v>
      </c>
      <c r="D436">
        <v>110.88</v>
      </c>
      <c r="E436" s="9">
        <v>43438</v>
      </c>
    </row>
    <row r="437" spans="1:5" x14ac:dyDescent="0.45">
      <c r="A437" t="s">
        <v>121</v>
      </c>
      <c r="B437" t="s">
        <v>534</v>
      </c>
      <c r="C437">
        <v>208859</v>
      </c>
      <c r="D437">
        <v>171.69</v>
      </c>
      <c r="E437" s="9">
        <v>43273</v>
      </c>
    </row>
    <row r="438" spans="1:5" x14ac:dyDescent="0.45">
      <c r="A438" t="s">
        <v>121</v>
      </c>
      <c r="B438" t="s">
        <v>534</v>
      </c>
      <c r="C438">
        <v>205080</v>
      </c>
      <c r="D438">
        <v>635.17999999999995</v>
      </c>
      <c r="E438" s="9">
        <v>43244</v>
      </c>
    </row>
    <row r="439" spans="1:5" x14ac:dyDescent="0.45">
      <c r="A439" t="s">
        <v>121</v>
      </c>
      <c r="B439" t="s">
        <v>534</v>
      </c>
      <c r="C439">
        <v>204090</v>
      </c>
      <c r="D439">
        <v>148.72999999999999</v>
      </c>
      <c r="E439" s="9">
        <v>43231</v>
      </c>
    </row>
    <row r="440" spans="1:5" x14ac:dyDescent="0.45">
      <c r="A440" t="s">
        <v>121</v>
      </c>
      <c r="B440" t="s">
        <v>534</v>
      </c>
      <c r="C440">
        <v>200800</v>
      </c>
      <c r="D440">
        <v>80</v>
      </c>
      <c r="E440" s="9">
        <v>43203</v>
      </c>
    </row>
    <row r="441" spans="1:5" x14ac:dyDescent="0.45">
      <c r="A441" t="s">
        <v>121</v>
      </c>
      <c r="B441" t="s">
        <v>534</v>
      </c>
      <c r="C441">
        <v>197284</v>
      </c>
      <c r="D441">
        <v>100</v>
      </c>
      <c r="E441" s="9">
        <v>43174</v>
      </c>
    </row>
    <row r="442" spans="1:5" x14ac:dyDescent="0.45">
      <c r="A442" t="s">
        <v>121</v>
      </c>
      <c r="B442" t="s">
        <v>534</v>
      </c>
      <c r="C442">
        <v>197000</v>
      </c>
      <c r="D442">
        <v>47.81</v>
      </c>
      <c r="E442" s="9">
        <v>43173</v>
      </c>
    </row>
    <row r="443" spans="1:5" x14ac:dyDescent="0.45">
      <c r="A443" t="s">
        <v>121</v>
      </c>
      <c r="B443" t="s">
        <v>534</v>
      </c>
      <c r="C443">
        <v>196074</v>
      </c>
      <c r="D443">
        <v>50</v>
      </c>
      <c r="E443" s="9">
        <v>43164</v>
      </c>
    </row>
    <row r="444" spans="1:5" x14ac:dyDescent="0.45">
      <c r="A444" t="s">
        <v>121</v>
      </c>
      <c r="B444" t="s">
        <v>534</v>
      </c>
      <c r="C444">
        <v>195603</v>
      </c>
      <c r="D444">
        <v>100</v>
      </c>
      <c r="E444" s="9">
        <v>43158</v>
      </c>
    </row>
    <row r="445" spans="1:5" x14ac:dyDescent="0.45">
      <c r="A445" t="s">
        <v>121</v>
      </c>
      <c r="B445" t="s">
        <v>534</v>
      </c>
      <c r="C445">
        <v>194827</v>
      </c>
      <c r="D445">
        <v>660.17</v>
      </c>
      <c r="E445" s="9">
        <v>43133</v>
      </c>
    </row>
    <row r="446" spans="1:5" x14ac:dyDescent="0.45">
      <c r="A446" t="s">
        <v>121</v>
      </c>
      <c r="B446" t="s">
        <v>534</v>
      </c>
      <c r="C446">
        <v>194710</v>
      </c>
      <c r="D446">
        <v>244.69</v>
      </c>
      <c r="E446" s="9">
        <v>43124</v>
      </c>
    </row>
    <row r="447" spans="1:5" x14ac:dyDescent="0.45">
      <c r="A447" t="s">
        <v>121</v>
      </c>
      <c r="B447" t="s">
        <v>534</v>
      </c>
      <c r="C447">
        <v>194701</v>
      </c>
      <c r="D447">
        <v>95.68</v>
      </c>
      <c r="E447" s="9">
        <v>43059</v>
      </c>
    </row>
    <row r="448" spans="1:5" x14ac:dyDescent="0.45">
      <c r="A448" t="s">
        <v>121</v>
      </c>
      <c r="B448" t="s">
        <v>534</v>
      </c>
      <c r="C448">
        <v>193316</v>
      </c>
      <c r="D448">
        <v>100</v>
      </c>
      <c r="E448" s="9">
        <v>43010</v>
      </c>
    </row>
    <row r="449" spans="1:5" x14ac:dyDescent="0.45">
      <c r="A449" t="s">
        <v>121</v>
      </c>
      <c r="B449" t="s">
        <v>534</v>
      </c>
      <c r="C449">
        <v>190392</v>
      </c>
      <c r="D449">
        <v>1075.33</v>
      </c>
      <c r="E449" s="9">
        <v>42943</v>
      </c>
    </row>
    <row r="450" spans="1:5" x14ac:dyDescent="0.45">
      <c r="A450" t="s">
        <v>121</v>
      </c>
      <c r="B450" t="s">
        <v>534</v>
      </c>
      <c r="C450">
        <v>175219</v>
      </c>
      <c r="D450">
        <v>340</v>
      </c>
      <c r="E450" s="9">
        <v>42713</v>
      </c>
    </row>
    <row r="451" spans="1:5" x14ac:dyDescent="0.45">
      <c r="A451" t="s">
        <v>121</v>
      </c>
      <c r="B451" t="s">
        <v>534</v>
      </c>
      <c r="C451">
        <v>169673</v>
      </c>
      <c r="D451">
        <v>125</v>
      </c>
      <c r="E451" s="9">
        <v>42662</v>
      </c>
    </row>
    <row r="452" spans="1:5" x14ac:dyDescent="0.45">
      <c r="A452" t="s">
        <v>121</v>
      </c>
      <c r="B452" t="s">
        <v>534</v>
      </c>
      <c r="C452">
        <v>165834</v>
      </c>
      <c r="D452">
        <v>80</v>
      </c>
      <c r="E452" s="9">
        <v>42585</v>
      </c>
    </row>
    <row r="453" spans="1:5" x14ac:dyDescent="0.45">
      <c r="A453" t="s">
        <v>121</v>
      </c>
      <c r="B453" t="s">
        <v>534</v>
      </c>
      <c r="C453">
        <v>159610</v>
      </c>
      <c r="D453">
        <v>125</v>
      </c>
      <c r="E453" s="9">
        <v>42433</v>
      </c>
    </row>
    <row r="454" spans="1:5" x14ac:dyDescent="0.45">
      <c r="A454" t="s">
        <v>121</v>
      </c>
      <c r="B454" t="s">
        <v>534</v>
      </c>
      <c r="C454">
        <v>0</v>
      </c>
      <c r="D454">
        <v>125</v>
      </c>
      <c r="E454" s="9">
        <v>42409</v>
      </c>
    </row>
    <row r="455" spans="1:5" x14ac:dyDescent="0.45">
      <c r="A455" t="s">
        <v>121</v>
      </c>
      <c r="B455" t="s">
        <v>534</v>
      </c>
      <c r="C455">
        <v>159176</v>
      </c>
      <c r="D455">
        <v>125</v>
      </c>
      <c r="E455" s="9">
        <v>42398</v>
      </c>
    </row>
    <row r="456" spans="1:5" x14ac:dyDescent="0.45">
      <c r="A456" t="s">
        <v>121</v>
      </c>
      <c r="B456" t="s">
        <v>534</v>
      </c>
      <c r="C456">
        <v>156863</v>
      </c>
      <c r="D456">
        <v>330</v>
      </c>
      <c r="E456" s="9">
        <v>42324</v>
      </c>
    </row>
    <row r="457" spans="1:5" x14ac:dyDescent="0.45">
      <c r="A457" t="s">
        <v>121</v>
      </c>
      <c r="B457" t="s">
        <v>534</v>
      </c>
      <c r="C457">
        <v>143958</v>
      </c>
      <c r="D457">
        <v>125</v>
      </c>
      <c r="E457" s="9">
        <v>42101</v>
      </c>
    </row>
    <row r="458" spans="1:5" x14ac:dyDescent="0.45">
      <c r="A458" t="s">
        <v>121</v>
      </c>
      <c r="B458" t="s">
        <v>534</v>
      </c>
      <c r="C458">
        <v>0</v>
      </c>
      <c r="D458">
        <v>125</v>
      </c>
      <c r="E458" s="9">
        <v>42005</v>
      </c>
    </row>
    <row r="459" spans="1:5" x14ac:dyDescent="0.45">
      <c r="A459" t="s">
        <v>121</v>
      </c>
      <c r="B459" t="s">
        <v>534</v>
      </c>
      <c r="C459">
        <v>136189</v>
      </c>
      <c r="D459">
        <v>534</v>
      </c>
      <c r="E459" s="9">
        <v>41991</v>
      </c>
    </row>
    <row r="460" spans="1:5" x14ac:dyDescent="0.45">
      <c r="A460" t="s">
        <v>121</v>
      </c>
      <c r="B460" t="s">
        <v>534</v>
      </c>
      <c r="C460">
        <v>107398</v>
      </c>
      <c r="D460">
        <v>125</v>
      </c>
      <c r="E460" s="9">
        <v>41690</v>
      </c>
    </row>
    <row r="461" spans="1:5" x14ac:dyDescent="0.45">
      <c r="A461" t="s">
        <v>121</v>
      </c>
      <c r="B461" t="s">
        <v>534</v>
      </c>
      <c r="C461">
        <v>102355</v>
      </c>
      <c r="D461">
        <v>100</v>
      </c>
      <c r="E461" s="9">
        <v>41652</v>
      </c>
    </row>
    <row r="462" spans="1:5" x14ac:dyDescent="0.45">
      <c r="A462" t="s">
        <v>121</v>
      </c>
      <c r="B462" t="s">
        <v>534</v>
      </c>
      <c r="C462">
        <v>78947</v>
      </c>
      <c r="D462">
        <v>100</v>
      </c>
      <c r="E462" s="9">
        <v>41424</v>
      </c>
    </row>
    <row r="463" spans="1:5" x14ac:dyDescent="0.45">
      <c r="A463" t="s">
        <v>121</v>
      </c>
      <c r="B463" t="s">
        <v>534</v>
      </c>
      <c r="C463">
        <v>70715</v>
      </c>
      <c r="D463">
        <v>80</v>
      </c>
      <c r="E463" s="9">
        <v>41312</v>
      </c>
    </row>
    <row r="464" spans="1:5" x14ac:dyDescent="0.45">
      <c r="A464" t="s">
        <v>121</v>
      </c>
      <c r="B464" t="s">
        <v>534</v>
      </c>
      <c r="C464">
        <v>60485</v>
      </c>
      <c r="D464">
        <v>80</v>
      </c>
      <c r="E464" s="9">
        <v>41219</v>
      </c>
    </row>
    <row r="465" spans="1:5" x14ac:dyDescent="0.45">
      <c r="A465" t="s">
        <v>121</v>
      </c>
      <c r="B465" t="s">
        <v>534</v>
      </c>
      <c r="C465">
        <v>42359</v>
      </c>
      <c r="D465">
        <v>125</v>
      </c>
      <c r="E465" s="9">
        <v>41036</v>
      </c>
    </row>
    <row r="466" spans="1:5" x14ac:dyDescent="0.45">
      <c r="A466" t="s">
        <v>121</v>
      </c>
      <c r="B466" t="s">
        <v>534</v>
      </c>
      <c r="C466">
        <v>30717</v>
      </c>
      <c r="D466">
        <v>80</v>
      </c>
      <c r="E466" s="9">
        <v>40939</v>
      </c>
    </row>
    <row r="467" spans="1:5" x14ac:dyDescent="0.45">
      <c r="A467" t="s">
        <v>121</v>
      </c>
      <c r="B467" t="s">
        <v>534</v>
      </c>
      <c r="C467">
        <v>24979</v>
      </c>
      <c r="D467">
        <v>80</v>
      </c>
      <c r="E467" s="9">
        <v>40851</v>
      </c>
    </row>
    <row r="468" spans="1:5" x14ac:dyDescent="0.45">
      <c r="A468" t="s">
        <v>123</v>
      </c>
      <c r="B468" t="s">
        <v>616</v>
      </c>
      <c r="C468" s="13">
        <v>0</v>
      </c>
      <c r="D468" s="13"/>
      <c r="E468" s="16">
        <v>43606</v>
      </c>
    </row>
    <row r="469" spans="1:5" x14ac:dyDescent="0.45">
      <c r="A469" t="s">
        <v>123</v>
      </c>
      <c r="B469" t="s">
        <v>616</v>
      </c>
      <c r="C469" s="14">
        <v>25000</v>
      </c>
      <c r="E469" s="9">
        <v>43623</v>
      </c>
    </row>
    <row r="470" spans="1:5" x14ac:dyDescent="0.45">
      <c r="A470" t="s">
        <v>123</v>
      </c>
      <c r="B470" t="s">
        <v>616</v>
      </c>
      <c r="C470" s="13">
        <v>55966</v>
      </c>
      <c r="D470" s="13">
        <v>80</v>
      </c>
      <c r="E470" s="16">
        <v>44141</v>
      </c>
    </row>
    <row r="471" spans="1:5" x14ac:dyDescent="0.45">
      <c r="A471" t="s">
        <v>123</v>
      </c>
      <c r="B471" t="s">
        <v>616</v>
      </c>
      <c r="C471">
        <v>58934</v>
      </c>
      <c r="D471">
        <v>500</v>
      </c>
      <c r="E471" s="9">
        <v>44167</v>
      </c>
    </row>
    <row r="472" spans="1:5" x14ac:dyDescent="0.45">
      <c r="A472" t="s">
        <v>124</v>
      </c>
      <c r="B472" t="s">
        <v>619</v>
      </c>
      <c r="C472">
        <v>5</v>
      </c>
      <c r="E472" s="9">
        <v>43868</v>
      </c>
    </row>
    <row r="473" spans="1:5" x14ac:dyDescent="0.45">
      <c r="A473" t="s">
        <v>124</v>
      </c>
      <c r="B473" t="s">
        <v>619</v>
      </c>
      <c r="C473">
        <v>936</v>
      </c>
      <c r="E473" s="9">
        <v>44162</v>
      </c>
    </row>
    <row r="474" spans="1:5" x14ac:dyDescent="0.45">
      <c r="A474" t="s">
        <v>124</v>
      </c>
      <c r="B474" t="s">
        <v>619</v>
      </c>
      <c r="C474">
        <v>939</v>
      </c>
      <c r="E474" s="9">
        <v>44182</v>
      </c>
    </row>
    <row r="475" spans="1:5" x14ac:dyDescent="0.45">
      <c r="A475" t="s">
        <v>125</v>
      </c>
      <c r="B475" t="s">
        <v>427</v>
      </c>
      <c r="C475">
        <v>199560</v>
      </c>
      <c r="D475">
        <v>104.51</v>
      </c>
      <c r="E475" s="9">
        <v>44033</v>
      </c>
    </row>
    <row r="476" spans="1:5" x14ac:dyDescent="0.45">
      <c r="A476" t="s">
        <v>125</v>
      </c>
      <c r="B476" t="s">
        <v>427</v>
      </c>
      <c r="C476">
        <v>195028</v>
      </c>
      <c r="D476">
        <v>64.94</v>
      </c>
      <c r="E476" s="9">
        <v>44042</v>
      </c>
    </row>
    <row r="477" spans="1:5" x14ac:dyDescent="0.45">
      <c r="A477" t="s">
        <v>125</v>
      </c>
      <c r="B477" t="s">
        <v>427</v>
      </c>
      <c r="C477">
        <v>194052</v>
      </c>
      <c r="D477">
        <v>125</v>
      </c>
      <c r="E477" s="9">
        <v>44000</v>
      </c>
    </row>
    <row r="478" spans="1:5" x14ac:dyDescent="0.45">
      <c r="A478" t="s">
        <v>125</v>
      </c>
      <c r="B478" t="s">
        <v>427</v>
      </c>
      <c r="C478">
        <v>184386</v>
      </c>
      <c r="D478">
        <v>87.45</v>
      </c>
      <c r="E478" s="9">
        <v>43889</v>
      </c>
    </row>
    <row r="479" spans="1:5" x14ac:dyDescent="0.45">
      <c r="A479" t="s">
        <v>125</v>
      </c>
      <c r="B479" t="s">
        <v>427</v>
      </c>
      <c r="C479">
        <v>179511</v>
      </c>
      <c r="D479">
        <v>64.03</v>
      </c>
      <c r="E479" s="9">
        <v>43825</v>
      </c>
    </row>
    <row r="480" spans="1:5" x14ac:dyDescent="0.45">
      <c r="A480" t="s">
        <v>125</v>
      </c>
      <c r="B480" t="s">
        <v>427</v>
      </c>
      <c r="C480">
        <v>174889</v>
      </c>
      <c r="D480">
        <v>64.03</v>
      </c>
      <c r="E480" s="9">
        <v>43762</v>
      </c>
    </row>
    <row r="481" spans="1:5" x14ac:dyDescent="0.45">
      <c r="A481" t="s">
        <v>125</v>
      </c>
      <c r="B481" t="s">
        <v>427</v>
      </c>
      <c r="C481">
        <v>167822</v>
      </c>
      <c r="D481">
        <v>128.32</v>
      </c>
      <c r="E481" s="9">
        <v>43635</v>
      </c>
    </row>
    <row r="482" spans="1:5" x14ac:dyDescent="0.45">
      <c r="A482" t="s">
        <v>125</v>
      </c>
      <c r="B482" t="s">
        <v>427</v>
      </c>
      <c r="C482">
        <v>165000</v>
      </c>
      <c r="D482">
        <v>375.38</v>
      </c>
      <c r="E482" s="9">
        <v>43619</v>
      </c>
    </row>
    <row r="483" spans="1:5" x14ac:dyDescent="0.45">
      <c r="A483" t="s">
        <v>125</v>
      </c>
      <c r="B483" t="s">
        <v>427</v>
      </c>
      <c r="C483">
        <v>162246</v>
      </c>
      <c r="D483">
        <v>101.83</v>
      </c>
      <c r="E483" s="9">
        <v>43584</v>
      </c>
    </row>
    <row r="484" spans="1:5" x14ac:dyDescent="0.45">
      <c r="A484" t="s">
        <v>125</v>
      </c>
      <c r="B484" t="s">
        <v>427</v>
      </c>
      <c r="C484">
        <v>156414</v>
      </c>
      <c r="D484">
        <v>109.06</v>
      </c>
      <c r="E484" s="9">
        <v>43515</v>
      </c>
    </row>
    <row r="485" spans="1:5" x14ac:dyDescent="0.45">
      <c r="A485" t="s">
        <v>125</v>
      </c>
      <c r="B485" t="s">
        <v>427</v>
      </c>
      <c r="C485">
        <v>153032</v>
      </c>
      <c r="D485">
        <v>89.55</v>
      </c>
      <c r="E485" s="9">
        <v>43448</v>
      </c>
    </row>
    <row r="486" spans="1:5" x14ac:dyDescent="0.45">
      <c r="A486" t="s">
        <v>125</v>
      </c>
      <c r="B486" t="s">
        <v>427</v>
      </c>
      <c r="C486">
        <v>149878</v>
      </c>
      <c r="D486">
        <v>64.03</v>
      </c>
      <c r="E486" s="9">
        <v>43412</v>
      </c>
    </row>
    <row r="487" spans="1:5" x14ac:dyDescent="0.45">
      <c r="A487" t="s">
        <v>125</v>
      </c>
      <c r="B487" t="s">
        <v>427</v>
      </c>
      <c r="C487">
        <v>145772</v>
      </c>
      <c r="D487">
        <v>74.28</v>
      </c>
      <c r="E487" s="9">
        <v>43368</v>
      </c>
    </row>
    <row r="488" spans="1:5" x14ac:dyDescent="0.45">
      <c r="A488" t="s">
        <v>125</v>
      </c>
      <c r="B488" t="s">
        <v>427</v>
      </c>
      <c r="C488">
        <v>144537</v>
      </c>
      <c r="D488">
        <v>5063.49</v>
      </c>
      <c r="E488" s="9">
        <v>43340</v>
      </c>
    </row>
    <row r="489" spans="1:5" x14ac:dyDescent="0.45">
      <c r="A489" t="s">
        <v>125</v>
      </c>
      <c r="B489" t="s">
        <v>427</v>
      </c>
      <c r="C489">
        <v>142571</v>
      </c>
      <c r="D489">
        <v>74.28</v>
      </c>
      <c r="E489" s="9">
        <v>43318</v>
      </c>
    </row>
    <row r="490" spans="1:5" x14ac:dyDescent="0.45">
      <c r="A490" t="s">
        <v>125</v>
      </c>
      <c r="B490" t="s">
        <v>427</v>
      </c>
      <c r="C490">
        <v>140000</v>
      </c>
      <c r="D490">
        <v>34.89</v>
      </c>
      <c r="E490" s="9">
        <v>43283</v>
      </c>
    </row>
    <row r="491" spans="1:5" x14ac:dyDescent="0.45">
      <c r="A491" t="s">
        <v>125</v>
      </c>
      <c r="B491" t="s">
        <v>427</v>
      </c>
      <c r="C491">
        <v>139537</v>
      </c>
      <c r="D491">
        <v>74.28</v>
      </c>
      <c r="E491" s="9">
        <v>43277</v>
      </c>
    </row>
    <row r="492" spans="1:5" x14ac:dyDescent="0.45">
      <c r="A492" t="s">
        <v>125</v>
      </c>
      <c r="B492" t="s">
        <v>427</v>
      </c>
      <c r="C492">
        <v>137210</v>
      </c>
      <c r="D492">
        <v>10.39</v>
      </c>
      <c r="E492" s="9">
        <v>43256</v>
      </c>
    </row>
    <row r="493" spans="1:5" x14ac:dyDescent="0.45">
      <c r="A493" t="s">
        <v>125</v>
      </c>
      <c r="B493" t="s">
        <v>427</v>
      </c>
      <c r="C493">
        <v>136246</v>
      </c>
      <c r="D493">
        <v>63.13</v>
      </c>
      <c r="E493" s="9">
        <v>43242</v>
      </c>
    </row>
    <row r="494" spans="1:5" x14ac:dyDescent="0.45">
      <c r="A494" t="s">
        <v>125</v>
      </c>
      <c r="B494" t="s">
        <v>427</v>
      </c>
      <c r="C494">
        <v>135000</v>
      </c>
      <c r="D494">
        <v>187.8</v>
      </c>
      <c r="E494" s="9">
        <v>43229</v>
      </c>
    </row>
    <row r="495" spans="1:5" x14ac:dyDescent="0.45">
      <c r="A495" t="s">
        <v>125</v>
      </c>
      <c r="B495" t="s">
        <v>427</v>
      </c>
      <c r="C495">
        <v>133000</v>
      </c>
      <c r="D495">
        <v>187.8</v>
      </c>
      <c r="E495" s="9">
        <v>43208</v>
      </c>
    </row>
    <row r="496" spans="1:5" x14ac:dyDescent="0.45">
      <c r="A496" t="s">
        <v>125</v>
      </c>
      <c r="B496" t="s">
        <v>427</v>
      </c>
      <c r="C496">
        <v>131341</v>
      </c>
      <c r="D496">
        <v>63.13</v>
      </c>
      <c r="E496" s="9">
        <v>43178</v>
      </c>
    </row>
    <row r="497" spans="1:5" x14ac:dyDescent="0.45">
      <c r="A497" t="s">
        <v>125</v>
      </c>
      <c r="B497" t="s">
        <v>427</v>
      </c>
      <c r="C497">
        <v>130992</v>
      </c>
      <c r="D497">
        <v>125</v>
      </c>
      <c r="E497" s="9">
        <v>43174</v>
      </c>
    </row>
    <row r="498" spans="1:5" x14ac:dyDescent="0.45">
      <c r="A498" t="s">
        <v>125</v>
      </c>
      <c r="B498" t="s">
        <v>427</v>
      </c>
      <c r="C498">
        <v>130673</v>
      </c>
      <c r="D498">
        <v>758.81</v>
      </c>
      <c r="E498" s="9">
        <v>43146</v>
      </c>
    </row>
    <row r="499" spans="1:5" x14ac:dyDescent="0.45">
      <c r="A499" t="s">
        <v>125</v>
      </c>
      <c r="B499" t="s">
        <v>427</v>
      </c>
      <c r="C499">
        <v>128180</v>
      </c>
      <c r="D499">
        <v>100.77</v>
      </c>
      <c r="E499" s="9">
        <v>43134</v>
      </c>
    </row>
    <row r="500" spans="1:5" x14ac:dyDescent="0.45">
      <c r="A500" t="s">
        <v>125</v>
      </c>
      <c r="B500" t="s">
        <v>427</v>
      </c>
      <c r="C500">
        <v>124792</v>
      </c>
      <c r="D500">
        <v>74.28</v>
      </c>
      <c r="E500" s="9">
        <v>43085</v>
      </c>
    </row>
    <row r="501" spans="1:5" x14ac:dyDescent="0.45">
      <c r="A501" t="s">
        <v>125</v>
      </c>
      <c r="B501" t="s">
        <v>427</v>
      </c>
      <c r="C501">
        <v>121317</v>
      </c>
      <c r="D501">
        <v>74.28</v>
      </c>
      <c r="E501" s="9">
        <v>43039</v>
      </c>
    </row>
    <row r="502" spans="1:5" x14ac:dyDescent="0.45">
      <c r="A502" t="s">
        <v>125</v>
      </c>
      <c r="B502" t="s">
        <v>427</v>
      </c>
      <c r="C502">
        <v>119383</v>
      </c>
      <c r="D502">
        <v>944.16</v>
      </c>
      <c r="E502" s="9">
        <v>43000</v>
      </c>
    </row>
    <row r="503" spans="1:5" x14ac:dyDescent="0.45">
      <c r="A503" t="s">
        <v>125</v>
      </c>
      <c r="B503" t="s">
        <v>427</v>
      </c>
      <c r="C503">
        <v>118221</v>
      </c>
      <c r="D503">
        <v>74.040000000000006</v>
      </c>
      <c r="E503" s="9">
        <v>42991</v>
      </c>
    </row>
    <row r="504" spans="1:5" x14ac:dyDescent="0.45">
      <c r="A504" t="s">
        <v>125</v>
      </c>
      <c r="B504" t="s">
        <v>427</v>
      </c>
      <c r="C504">
        <v>113867</v>
      </c>
      <c r="D504">
        <v>1384.8</v>
      </c>
      <c r="E504" s="9">
        <v>42936</v>
      </c>
    </row>
    <row r="505" spans="1:5" x14ac:dyDescent="0.45">
      <c r="A505" t="s">
        <v>125</v>
      </c>
      <c r="B505" t="s">
        <v>427</v>
      </c>
      <c r="C505">
        <v>111734</v>
      </c>
      <c r="D505">
        <v>62.93</v>
      </c>
      <c r="E505" s="9">
        <v>42910</v>
      </c>
    </row>
    <row r="506" spans="1:5" x14ac:dyDescent="0.45">
      <c r="A506" t="s">
        <v>125</v>
      </c>
      <c r="B506" t="s">
        <v>427</v>
      </c>
      <c r="C506">
        <v>108742</v>
      </c>
      <c r="D506">
        <v>107.97</v>
      </c>
      <c r="E506" s="9">
        <v>42879</v>
      </c>
    </row>
    <row r="507" spans="1:5" x14ac:dyDescent="0.45">
      <c r="A507" t="s">
        <v>125</v>
      </c>
      <c r="B507" t="s">
        <v>427</v>
      </c>
      <c r="C507">
        <v>105343</v>
      </c>
      <c r="D507">
        <v>160.11000000000001</v>
      </c>
      <c r="E507" s="9">
        <v>42837</v>
      </c>
    </row>
    <row r="508" spans="1:5" x14ac:dyDescent="0.45">
      <c r="A508" t="s">
        <v>125</v>
      </c>
      <c r="B508" t="s">
        <v>427</v>
      </c>
      <c r="C508">
        <v>102261</v>
      </c>
      <c r="D508">
        <v>86.35</v>
      </c>
      <c r="E508" s="9">
        <v>42800</v>
      </c>
    </row>
    <row r="509" spans="1:5" x14ac:dyDescent="0.45">
      <c r="A509" t="s">
        <v>125</v>
      </c>
      <c r="B509" t="s">
        <v>427</v>
      </c>
      <c r="C509">
        <v>96601</v>
      </c>
      <c r="D509">
        <v>86.9</v>
      </c>
      <c r="E509" s="9">
        <v>42730</v>
      </c>
    </row>
    <row r="510" spans="1:5" x14ac:dyDescent="0.45">
      <c r="A510" t="s">
        <v>125</v>
      </c>
      <c r="B510" t="s">
        <v>427</v>
      </c>
      <c r="C510">
        <v>90723</v>
      </c>
      <c r="D510">
        <v>86.9</v>
      </c>
      <c r="E510" s="9">
        <v>42667</v>
      </c>
    </row>
    <row r="511" spans="1:5" x14ac:dyDescent="0.45">
      <c r="A511" t="s">
        <v>125</v>
      </c>
      <c r="B511" t="s">
        <v>427</v>
      </c>
      <c r="C511">
        <v>87152</v>
      </c>
      <c r="D511">
        <v>86.9</v>
      </c>
      <c r="E511" s="9">
        <v>42621</v>
      </c>
    </row>
    <row r="512" spans="1:5" x14ac:dyDescent="0.45">
      <c r="A512" t="s">
        <v>125</v>
      </c>
      <c r="B512" t="s">
        <v>427</v>
      </c>
      <c r="C512">
        <v>73517</v>
      </c>
      <c r="D512">
        <v>120</v>
      </c>
      <c r="E512" s="9">
        <v>42452</v>
      </c>
    </row>
    <row r="513" spans="1:5" x14ac:dyDescent="0.45">
      <c r="A513" t="s">
        <v>125</v>
      </c>
      <c r="B513" t="s">
        <v>427</v>
      </c>
      <c r="C513">
        <v>66441</v>
      </c>
      <c r="D513">
        <v>110</v>
      </c>
      <c r="E513" s="9">
        <v>42359</v>
      </c>
    </row>
    <row r="514" spans="1:5" x14ac:dyDescent="0.45">
      <c r="A514" t="s">
        <v>125</v>
      </c>
      <c r="B514" t="s">
        <v>427</v>
      </c>
      <c r="C514">
        <v>61444</v>
      </c>
      <c r="D514">
        <v>1793.83</v>
      </c>
      <c r="E514" s="9">
        <v>42242</v>
      </c>
    </row>
    <row r="515" spans="1:5" x14ac:dyDescent="0.45">
      <c r="A515" t="s">
        <v>125</v>
      </c>
      <c r="B515" t="s">
        <v>427</v>
      </c>
      <c r="C515">
        <v>61123</v>
      </c>
      <c r="D515">
        <v>108.86</v>
      </c>
      <c r="E515" s="9">
        <v>42237</v>
      </c>
    </row>
    <row r="516" spans="1:5" x14ac:dyDescent="0.45">
      <c r="A516" t="s">
        <v>125</v>
      </c>
      <c r="B516" t="s">
        <v>427</v>
      </c>
      <c r="C516">
        <v>60123</v>
      </c>
      <c r="D516">
        <v>84.54</v>
      </c>
      <c r="E516" s="9">
        <v>42116</v>
      </c>
    </row>
    <row r="517" spans="1:5" x14ac:dyDescent="0.45">
      <c r="A517" t="s">
        <v>125</v>
      </c>
      <c r="B517" t="s">
        <v>427</v>
      </c>
      <c r="C517">
        <v>55000</v>
      </c>
      <c r="D517">
        <v>125</v>
      </c>
      <c r="E517" s="9">
        <v>42005</v>
      </c>
    </row>
    <row r="518" spans="1:5" x14ac:dyDescent="0.45">
      <c r="A518" t="s">
        <v>125</v>
      </c>
      <c r="B518" t="s">
        <v>427</v>
      </c>
      <c r="C518">
        <v>50423</v>
      </c>
      <c r="D518">
        <v>43.11</v>
      </c>
      <c r="E518" s="9">
        <v>41845</v>
      </c>
    </row>
    <row r="519" spans="1:5" x14ac:dyDescent="0.45">
      <c r="A519" t="s">
        <v>125</v>
      </c>
      <c r="B519" t="s">
        <v>427</v>
      </c>
      <c r="C519">
        <v>40028</v>
      </c>
      <c r="D519">
        <v>109.76</v>
      </c>
      <c r="E519" s="9">
        <v>41743</v>
      </c>
    </row>
    <row r="520" spans="1:5" x14ac:dyDescent="0.45">
      <c r="A520" t="s">
        <v>125</v>
      </c>
      <c r="B520" t="s">
        <v>427</v>
      </c>
      <c r="C520">
        <v>30616</v>
      </c>
      <c r="D520">
        <v>32.92</v>
      </c>
      <c r="E520" s="9">
        <v>41654</v>
      </c>
    </row>
    <row r="521" spans="1:5" x14ac:dyDescent="0.45">
      <c r="A521" t="s">
        <v>125</v>
      </c>
      <c r="B521" t="s">
        <v>427</v>
      </c>
      <c r="C521">
        <v>27182</v>
      </c>
      <c r="D521">
        <v>516.07000000000005</v>
      </c>
      <c r="E521" s="9">
        <v>41612</v>
      </c>
    </row>
    <row r="522" spans="1:5" x14ac:dyDescent="0.45">
      <c r="A522" t="s">
        <v>125</v>
      </c>
      <c r="B522" t="s">
        <v>427</v>
      </c>
      <c r="C522">
        <v>25132</v>
      </c>
      <c r="D522">
        <v>41.5</v>
      </c>
      <c r="E522" s="9">
        <v>41586</v>
      </c>
    </row>
    <row r="523" spans="1:5" x14ac:dyDescent="0.45">
      <c r="A523" t="s">
        <v>125</v>
      </c>
      <c r="B523" t="s">
        <v>427</v>
      </c>
      <c r="C523">
        <v>24479</v>
      </c>
      <c r="D523">
        <v>38.46</v>
      </c>
      <c r="E523" s="9">
        <v>41551</v>
      </c>
    </row>
    <row r="524" spans="1:5" x14ac:dyDescent="0.45">
      <c r="A524" t="s">
        <v>125</v>
      </c>
      <c r="B524" t="s">
        <v>427</v>
      </c>
      <c r="C524">
        <v>10647</v>
      </c>
      <c r="D524">
        <v>68.900000000000006</v>
      </c>
      <c r="E524" s="9">
        <v>41445</v>
      </c>
    </row>
    <row r="525" spans="1:5" x14ac:dyDescent="0.45">
      <c r="A525" t="s">
        <v>126</v>
      </c>
      <c r="B525" t="s">
        <v>472</v>
      </c>
      <c r="C525">
        <v>0</v>
      </c>
      <c r="D525">
        <v>0</v>
      </c>
      <c r="E525" s="9">
        <v>40709</v>
      </c>
    </row>
    <row r="526" spans="1:5" x14ac:dyDescent="0.45">
      <c r="A526" t="s">
        <v>126</v>
      </c>
      <c r="B526" t="s">
        <v>472</v>
      </c>
      <c r="C526">
        <v>10072</v>
      </c>
      <c r="D526">
        <v>80</v>
      </c>
      <c r="E526" s="9">
        <v>40911</v>
      </c>
    </row>
    <row r="527" spans="1:5" x14ac:dyDescent="0.45">
      <c r="A527" t="s">
        <v>126</v>
      </c>
      <c r="B527" t="s">
        <v>472</v>
      </c>
      <c r="C527">
        <v>12000</v>
      </c>
      <c r="D527">
        <v>229.21</v>
      </c>
      <c r="E527" s="9">
        <v>40938</v>
      </c>
    </row>
    <row r="528" spans="1:5" x14ac:dyDescent="0.45">
      <c r="A528" t="s">
        <v>126</v>
      </c>
      <c r="B528" t="s">
        <v>472</v>
      </c>
      <c r="C528">
        <v>16358</v>
      </c>
      <c r="D528">
        <v>32.92</v>
      </c>
      <c r="E528" s="9">
        <v>40983</v>
      </c>
    </row>
    <row r="529" spans="1:5" x14ac:dyDescent="0.45">
      <c r="A529" t="s">
        <v>126</v>
      </c>
      <c r="B529" t="s">
        <v>472</v>
      </c>
      <c r="C529">
        <v>20466</v>
      </c>
      <c r="D529">
        <v>33.479999999999997</v>
      </c>
      <c r="E529" s="9">
        <v>41037</v>
      </c>
    </row>
    <row r="530" spans="1:5" x14ac:dyDescent="0.45">
      <c r="A530" t="s">
        <v>126</v>
      </c>
      <c r="B530" t="s">
        <v>472</v>
      </c>
      <c r="C530">
        <v>33863</v>
      </c>
      <c r="D530">
        <v>45.42</v>
      </c>
      <c r="E530" s="9">
        <v>41219</v>
      </c>
    </row>
    <row r="531" spans="1:5" x14ac:dyDescent="0.45">
      <c r="A531" t="s">
        <v>126</v>
      </c>
      <c r="B531" t="s">
        <v>472</v>
      </c>
      <c r="C531">
        <v>54477</v>
      </c>
      <c r="D531">
        <v>125</v>
      </c>
      <c r="E531" s="9">
        <v>41507</v>
      </c>
    </row>
    <row r="532" spans="1:5" x14ac:dyDescent="0.45">
      <c r="A532" t="s">
        <v>126</v>
      </c>
      <c r="B532" t="s">
        <v>472</v>
      </c>
      <c r="C532">
        <v>59817</v>
      </c>
      <c r="D532">
        <v>1965.54</v>
      </c>
      <c r="E532" s="9">
        <v>41577</v>
      </c>
    </row>
    <row r="533" spans="1:5" x14ac:dyDescent="0.45">
      <c r="A533" t="s">
        <v>126</v>
      </c>
      <c r="B533" t="s">
        <v>472</v>
      </c>
      <c r="C533">
        <v>60327</v>
      </c>
      <c r="D533">
        <v>411.09</v>
      </c>
      <c r="E533" s="9">
        <v>41592</v>
      </c>
    </row>
    <row r="534" spans="1:5" x14ac:dyDescent="0.45">
      <c r="A534" t="s">
        <v>126</v>
      </c>
      <c r="B534" t="s">
        <v>472</v>
      </c>
      <c r="C534">
        <v>67223</v>
      </c>
      <c r="D534">
        <v>62.03</v>
      </c>
      <c r="E534" s="9">
        <v>41677</v>
      </c>
    </row>
    <row r="535" spans="1:5" x14ac:dyDescent="0.45">
      <c r="A535" t="s">
        <v>126</v>
      </c>
      <c r="B535" t="s">
        <v>472</v>
      </c>
      <c r="C535">
        <v>73228</v>
      </c>
      <c r="D535">
        <v>503.27</v>
      </c>
      <c r="E535" s="9">
        <v>41789</v>
      </c>
    </row>
    <row r="536" spans="1:5" x14ac:dyDescent="0.45">
      <c r="A536" t="s">
        <v>126</v>
      </c>
      <c r="B536" t="s">
        <v>472</v>
      </c>
      <c r="C536">
        <v>81473</v>
      </c>
      <c r="D536">
        <v>74.31</v>
      </c>
      <c r="E536" s="9">
        <v>41950</v>
      </c>
    </row>
    <row r="537" spans="1:5" x14ac:dyDescent="0.45">
      <c r="A537" t="s">
        <v>126</v>
      </c>
      <c r="B537" t="s">
        <v>472</v>
      </c>
      <c r="C537">
        <v>84398</v>
      </c>
      <c r="D537">
        <v>695.39</v>
      </c>
      <c r="E537" s="9">
        <v>41996</v>
      </c>
    </row>
    <row r="538" spans="1:5" x14ac:dyDescent="0.45">
      <c r="A538" t="s">
        <v>126</v>
      </c>
      <c r="B538" t="s">
        <v>472</v>
      </c>
      <c r="C538" s="14">
        <v>90000</v>
      </c>
      <c r="D538">
        <v>125</v>
      </c>
      <c r="E538" s="9">
        <v>42005</v>
      </c>
    </row>
    <row r="539" spans="1:5" x14ac:dyDescent="0.45">
      <c r="A539" t="s">
        <v>126</v>
      </c>
      <c r="B539" t="s">
        <v>472</v>
      </c>
      <c r="C539" s="14">
        <v>95000</v>
      </c>
      <c r="D539">
        <v>106.63</v>
      </c>
      <c r="E539" s="9">
        <v>42094</v>
      </c>
    </row>
    <row r="540" spans="1:5" x14ac:dyDescent="0.45">
      <c r="A540" t="s">
        <v>126</v>
      </c>
      <c r="B540" t="s">
        <v>472</v>
      </c>
      <c r="C540" s="14">
        <v>100000</v>
      </c>
      <c r="D540">
        <v>125</v>
      </c>
      <c r="E540" s="9">
        <v>42094</v>
      </c>
    </row>
    <row r="541" spans="1:5" x14ac:dyDescent="0.45">
      <c r="A541" t="s">
        <v>126</v>
      </c>
      <c r="B541" t="s">
        <v>472</v>
      </c>
      <c r="C541">
        <v>100550</v>
      </c>
      <c r="D541">
        <v>711.35</v>
      </c>
      <c r="E541" s="9">
        <v>42283</v>
      </c>
    </row>
    <row r="542" spans="1:5" x14ac:dyDescent="0.45">
      <c r="A542" t="s">
        <v>126</v>
      </c>
      <c r="B542" t="s">
        <v>472</v>
      </c>
      <c r="C542" s="14">
        <v>125000</v>
      </c>
      <c r="D542">
        <v>132.75</v>
      </c>
      <c r="E542" s="9">
        <v>42324</v>
      </c>
    </row>
    <row r="543" spans="1:5" x14ac:dyDescent="0.45">
      <c r="A543" s="14" t="s">
        <v>659</v>
      </c>
      <c r="B543" s="14"/>
      <c r="C543" s="14">
        <v>135000</v>
      </c>
      <c r="D543" s="14"/>
      <c r="E543" s="17">
        <v>42735</v>
      </c>
    </row>
    <row r="544" spans="1:5" x14ac:dyDescent="0.45">
      <c r="A544" t="s">
        <v>126</v>
      </c>
      <c r="B544" t="s">
        <v>472</v>
      </c>
      <c r="C544">
        <v>144631</v>
      </c>
      <c r="D544">
        <v>213.19</v>
      </c>
      <c r="E544" s="9">
        <v>42963</v>
      </c>
    </row>
    <row r="545" spans="1:5" x14ac:dyDescent="0.45">
      <c r="A545" t="s">
        <v>126</v>
      </c>
      <c r="B545" t="s">
        <v>472</v>
      </c>
      <c r="C545">
        <v>145144</v>
      </c>
      <c r="D545">
        <v>295.79000000000002</v>
      </c>
      <c r="E545" s="9">
        <v>42970</v>
      </c>
    </row>
    <row r="546" spans="1:5" x14ac:dyDescent="0.45">
      <c r="A546" t="s">
        <v>126</v>
      </c>
      <c r="B546" t="s">
        <v>472</v>
      </c>
      <c r="C546">
        <v>145638</v>
      </c>
      <c r="D546">
        <v>625.44000000000005</v>
      </c>
      <c r="E546" s="9">
        <v>42971</v>
      </c>
    </row>
    <row r="547" spans="1:5" x14ac:dyDescent="0.45">
      <c r="A547" t="s">
        <v>126</v>
      </c>
      <c r="B547" t="s">
        <v>472</v>
      </c>
      <c r="C547">
        <v>148060</v>
      </c>
      <c r="D547">
        <v>74.599999999999994</v>
      </c>
      <c r="E547" s="9">
        <v>43004</v>
      </c>
    </row>
    <row r="548" spans="1:5" x14ac:dyDescent="0.45">
      <c r="A548" t="s">
        <v>126</v>
      </c>
      <c r="B548" t="s">
        <v>472</v>
      </c>
      <c r="C548">
        <v>155354</v>
      </c>
      <c r="D548">
        <v>100.77</v>
      </c>
      <c r="E548" s="9">
        <v>43041</v>
      </c>
    </row>
    <row r="549" spans="1:5" x14ac:dyDescent="0.45">
      <c r="A549" t="s">
        <v>126</v>
      </c>
      <c r="B549" t="s">
        <v>472</v>
      </c>
      <c r="C549">
        <v>160067</v>
      </c>
      <c r="D549">
        <v>63.13</v>
      </c>
      <c r="E549" s="9">
        <v>43153</v>
      </c>
    </row>
    <row r="550" spans="1:5" x14ac:dyDescent="0.45">
      <c r="A550" t="s">
        <v>126</v>
      </c>
      <c r="B550" t="s">
        <v>472</v>
      </c>
      <c r="C550">
        <v>161845</v>
      </c>
      <c r="D550">
        <v>0</v>
      </c>
      <c r="E550" s="9">
        <v>43174</v>
      </c>
    </row>
    <row r="551" spans="1:5" x14ac:dyDescent="0.45">
      <c r="A551" t="s">
        <v>126</v>
      </c>
      <c r="B551" t="s">
        <v>472</v>
      </c>
      <c r="C551">
        <v>161920</v>
      </c>
      <c r="D551">
        <v>125</v>
      </c>
      <c r="E551" s="9">
        <v>43175</v>
      </c>
    </row>
    <row r="552" spans="1:5" x14ac:dyDescent="0.45">
      <c r="A552" t="s">
        <v>126</v>
      </c>
      <c r="B552" t="s">
        <v>472</v>
      </c>
      <c r="C552">
        <v>162142</v>
      </c>
      <c r="D552">
        <v>3081.44</v>
      </c>
      <c r="E552" s="9">
        <v>43179</v>
      </c>
    </row>
    <row r="553" spans="1:5" x14ac:dyDescent="0.45">
      <c r="A553" t="s">
        <v>126</v>
      </c>
      <c r="B553" t="s">
        <v>472</v>
      </c>
      <c r="C553" s="14">
        <v>163000</v>
      </c>
      <c r="D553">
        <v>180</v>
      </c>
      <c r="E553" s="9">
        <v>43201</v>
      </c>
    </row>
    <row r="554" spans="1:5" x14ac:dyDescent="0.45">
      <c r="A554" t="s">
        <v>126</v>
      </c>
      <c r="B554" t="s">
        <v>472</v>
      </c>
      <c r="C554">
        <v>164483</v>
      </c>
      <c r="D554">
        <v>85.65</v>
      </c>
      <c r="E554" s="9">
        <v>43208</v>
      </c>
    </row>
    <row r="555" spans="1:5" x14ac:dyDescent="0.45">
      <c r="A555" t="s">
        <v>126</v>
      </c>
      <c r="B555" t="s">
        <v>472</v>
      </c>
      <c r="C555">
        <v>165826</v>
      </c>
      <c r="D555">
        <v>1170.6400000000001</v>
      </c>
      <c r="E555" s="9">
        <v>43230</v>
      </c>
    </row>
    <row r="556" spans="1:5" x14ac:dyDescent="0.45">
      <c r="A556" t="s">
        <v>126</v>
      </c>
      <c r="B556" t="s">
        <v>472</v>
      </c>
      <c r="C556">
        <v>169774</v>
      </c>
      <c r="D556">
        <v>74.28</v>
      </c>
      <c r="E556" s="9">
        <v>43277</v>
      </c>
    </row>
    <row r="557" spans="1:5" x14ac:dyDescent="0.45">
      <c r="A557" t="s">
        <v>126</v>
      </c>
      <c r="B557" t="s">
        <v>472</v>
      </c>
      <c r="C557">
        <v>177043</v>
      </c>
      <c r="D557">
        <v>67.75</v>
      </c>
      <c r="E557" s="9">
        <v>43384</v>
      </c>
    </row>
    <row r="558" spans="1:5" x14ac:dyDescent="0.45">
      <c r="A558" t="s">
        <v>126</v>
      </c>
      <c r="B558" t="s">
        <v>472</v>
      </c>
      <c r="C558">
        <v>178788</v>
      </c>
      <c r="D558">
        <v>75.34</v>
      </c>
      <c r="E558" s="9">
        <v>43402</v>
      </c>
    </row>
    <row r="559" spans="1:5" x14ac:dyDescent="0.45">
      <c r="A559" t="s">
        <v>126</v>
      </c>
      <c r="B559" t="s">
        <v>472</v>
      </c>
      <c r="C559">
        <v>184607</v>
      </c>
      <c r="D559">
        <v>131.58000000000001</v>
      </c>
      <c r="E559" s="9">
        <v>43477</v>
      </c>
    </row>
    <row r="560" spans="1:5" x14ac:dyDescent="0.45">
      <c r="A560" t="s">
        <v>126</v>
      </c>
      <c r="B560" t="s">
        <v>472</v>
      </c>
      <c r="C560" s="14">
        <v>187500</v>
      </c>
      <c r="D560">
        <v>565.72</v>
      </c>
      <c r="E560" s="9">
        <v>43553</v>
      </c>
    </row>
    <row r="561" spans="1:5" x14ac:dyDescent="0.45">
      <c r="A561" t="s">
        <v>126</v>
      </c>
      <c r="B561" t="s">
        <v>472</v>
      </c>
      <c r="C561">
        <v>191088</v>
      </c>
      <c r="D561">
        <v>1224.53</v>
      </c>
      <c r="E561" s="9">
        <v>43588</v>
      </c>
    </row>
    <row r="562" spans="1:5" x14ac:dyDescent="0.45">
      <c r="A562" t="s">
        <v>126</v>
      </c>
      <c r="B562" t="s">
        <v>472</v>
      </c>
      <c r="C562" s="14">
        <v>195000</v>
      </c>
      <c r="D562">
        <v>1545.97</v>
      </c>
      <c r="E562" s="9">
        <v>43685</v>
      </c>
    </row>
    <row r="563" spans="1:5" x14ac:dyDescent="0.45">
      <c r="A563" t="s">
        <v>126</v>
      </c>
      <c r="B563" t="s">
        <v>472</v>
      </c>
      <c r="C563">
        <v>200841</v>
      </c>
      <c r="D563">
        <v>64.03</v>
      </c>
      <c r="E563" s="9">
        <v>43781</v>
      </c>
    </row>
    <row r="564" spans="1:5" x14ac:dyDescent="0.45">
      <c r="A564" t="s">
        <v>127</v>
      </c>
      <c r="B564" t="s">
        <v>475</v>
      </c>
      <c r="C564">
        <v>7945</v>
      </c>
      <c r="D564">
        <v>80</v>
      </c>
      <c r="E564" s="9">
        <v>41658</v>
      </c>
    </row>
    <row r="565" spans="1:5" x14ac:dyDescent="0.45">
      <c r="A565" t="s">
        <v>127</v>
      </c>
      <c r="B565" t="s">
        <v>475</v>
      </c>
      <c r="C565">
        <v>17616</v>
      </c>
      <c r="D565">
        <v>72.97</v>
      </c>
      <c r="E565" s="9">
        <v>41788</v>
      </c>
    </row>
    <row r="566" spans="1:5" x14ac:dyDescent="0.45">
      <c r="A566" t="s">
        <v>127</v>
      </c>
      <c r="B566" t="s">
        <v>475</v>
      </c>
      <c r="C566">
        <v>26337</v>
      </c>
      <c r="D566">
        <v>40.409999999999997</v>
      </c>
      <c r="E566" s="9">
        <v>41914</v>
      </c>
    </row>
    <row r="567" spans="1:5" x14ac:dyDescent="0.45">
      <c r="A567" t="s">
        <v>127</v>
      </c>
      <c r="B567" t="s">
        <v>475</v>
      </c>
      <c r="C567">
        <v>29599</v>
      </c>
      <c r="D567">
        <v>100</v>
      </c>
      <c r="E567" s="9">
        <v>42004</v>
      </c>
    </row>
    <row r="568" spans="1:5" x14ac:dyDescent="0.45">
      <c r="A568" t="s">
        <v>127</v>
      </c>
      <c r="B568" t="s">
        <v>475</v>
      </c>
      <c r="C568" s="14">
        <v>30000</v>
      </c>
      <c r="D568">
        <v>275</v>
      </c>
      <c r="E568" s="9">
        <v>42005</v>
      </c>
    </row>
    <row r="569" spans="1:5" x14ac:dyDescent="0.45">
      <c r="A569" t="s">
        <v>127</v>
      </c>
      <c r="B569" t="s">
        <v>475</v>
      </c>
      <c r="C569" s="14">
        <v>31500</v>
      </c>
      <c r="D569">
        <v>0</v>
      </c>
      <c r="E569" s="9">
        <v>42023</v>
      </c>
    </row>
    <row r="570" spans="1:5" x14ac:dyDescent="0.45">
      <c r="A570" t="s">
        <v>127</v>
      </c>
      <c r="B570" t="s">
        <v>475</v>
      </c>
      <c r="C570">
        <v>33710</v>
      </c>
      <c r="D570">
        <v>781.25</v>
      </c>
      <c r="E570" s="9">
        <v>42103</v>
      </c>
    </row>
    <row r="571" spans="1:5" x14ac:dyDescent="0.45">
      <c r="A571" t="s">
        <v>127</v>
      </c>
      <c r="B571" t="s">
        <v>475</v>
      </c>
      <c r="C571">
        <v>39588</v>
      </c>
      <c r="D571">
        <v>367.17</v>
      </c>
      <c r="E571" s="9">
        <v>42219</v>
      </c>
    </row>
    <row r="572" spans="1:5" x14ac:dyDescent="0.45">
      <c r="A572" t="s">
        <v>127</v>
      </c>
      <c r="B572" t="s">
        <v>475</v>
      </c>
      <c r="C572">
        <v>40064</v>
      </c>
      <c r="D572">
        <v>0</v>
      </c>
      <c r="E572" s="9">
        <v>42231</v>
      </c>
    </row>
    <row r="573" spans="1:5" x14ac:dyDescent="0.45">
      <c r="A573" t="s">
        <v>127</v>
      </c>
      <c r="B573" t="s">
        <v>475</v>
      </c>
      <c r="C573">
        <v>46329</v>
      </c>
      <c r="D573">
        <v>440</v>
      </c>
      <c r="E573" s="9">
        <v>42328</v>
      </c>
    </row>
    <row r="574" spans="1:5" x14ac:dyDescent="0.45">
      <c r="A574" t="s">
        <v>127</v>
      </c>
      <c r="B574" t="s">
        <v>475</v>
      </c>
      <c r="C574">
        <v>49538</v>
      </c>
      <c r="D574">
        <v>80</v>
      </c>
      <c r="E574" s="9">
        <v>42391</v>
      </c>
    </row>
    <row r="575" spans="1:5" x14ac:dyDescent="0.45">
      <c r="A575" t="s">
        <v>127</v>
      </c>
      <c r="B575" t="s">
        <v>475</v>
      </c>
      <c r="C575">
        <v>50423</v>
      </c>
      <c r="D575">
        <v>100</v>
      </c>
      <c r="E575" s="9">
        <v>42415</v>
      </c>
    </row>
    <row r="576" spans="1:5" x14ac:dyDescent="0.45">
      <c r="A576" t="s">
        <v>127</v>
      </c>
      <c r="B576" t="s">
        <v>475</v>
      </c>
      <c r="C576">
        <v>67946</v>
      </c>
      <c r="D576">
        <v>101.59</v>
      </c>
      <c r="E576" s="9">
        <v>42752</v>
      </c>
    </row>
    <row r="577" spans="1:5" x14ac:dyDescent="0.45">
      <c r="A577" t="s">
        <v>127</v>
      </c>
      <c r="B577" t="s">
        <v>475</v>
      </c>
      <c r="C577">
        <v>70099</v>
      </c>
      <c r="D577">
        <v>80</v>
      </c>
      <c r="E577" s="9">
        <v>42796</v>
      </c>
    </row>
    <row r="578" spans="1:5" x14ac:dyDescent="0.45">
      <c r="A578" t="s">
        <v>127</v>
      </c>
      <c r="B578" t="s">
        <v>475</v>
      </c>
      <c r="C578">
        <v>73213</v>
      </c>
      <c r="D578">
        <v>0</v>
      </c>
      <c r="E578" s="9">
        <v>42835</v>
      </c>
    </row>
    <row r="579" spans="1:5" x14ac:dyDescent="0.45">
      <c r="A579" t="s">
        <v>127</v>
      </c>
      <c r="B579" t="s">
        <v>475</v>
      </c>
      <c r="C579">
        <v>75487</v>
      </c>
      <c r="D579">
        <v>80</v>
      </c>
      <c r="E579" s="9">
        <v>42863</v>
      </c>
    </row>
    <row r="580" spans="1:5" x14ac:dyDescent="0.45">
      <c r="A580" t="s">
        <v>127</v>
      </c>
      <c r="B580" t="s">
        <v>475</v>
      </c>
      <c r="C580">
        <v>85507</v>
      </c>
      <c r="D580">
        <v>62.93</v>
      </c>
      <c r="E580" s="9">
        <v>42971</v>
      </c>
    </row>
    <row r="581" spans="1:5" x14ac:dyDescent="0.45">
      <c r="A581" t="s">
        <v>127</v>
      </c>
      <c r="B581" t="s">
        <v>475</v>
      </c>
      <c r="C581">
        <v>95009</v>
      </c>
      <c r="D581">
        <v>74.28</v>
      </c>
      <c r="E581" s="9">
        <v>43072</v>
      </c>
    </row>
    <row r="582" spans="1:5" x14ac:dyDescent="0.45">
      <c r="A582" t="s">
        <v>127</v>
      </c>
      <c r="B582" t="s">
        <v>475</v>
      </c>
      <c r="C582">
        <v>99998</v>
      </c>
      <c r="D582">
        <v>0</v>
      </c>
      <c r="E582" s="9">
        <v>43143</v>
      </c>
    </row>
    <row r="583" spans="1:5" x14ac:dyDescent="0.45">
      <c r="A583" t="s">
        <v>127</v>
      </c>
      <c r="B583" t="s">
        <v>475</v>
      </c>
      <c r="C583">
        <v>101754</v>
      </c>
      <c r="D583">
        <v>0</v>
      </c>
      <c r="E583" s="9">
        <v>43164</v>
      </c>
    </row>
    <row r="584" spans="1:5" x14ac:dyDescent="0.45">
      <c r="A584" t="s">
        <v>127</v>
      </c>
      <c r="B584" t="s">
        <v>475</v>
      </c>
      <c r="C584">
        <v>104756</v>
      </c>
      <c r="D584">
        <v>63.13</v>
      </c>
      <c r="E584" s="9">
        <v>43200</v>
      </c>
    </row>
    <row r="585" spans="1:5" x14ac:dyDescent="0.45">
      <c r="A585" t="s">
        <v>127</v>
      </c>
      <c r="B585" t="s">
        <v>475</v>
      </c>
      <c r="C585">
        <v>107667</v>
      </c>
      <c r="D585">
        <v>125</v>
      </c>
      <c r="E585" s="9">
        <v>43230</v>
      </c>
    </row>
    <row r="586" spans="1:5" x14ac:dyDescent="0.45">
      <c r="A586" t="s">
        <v>127</v>
      </c>
      <c r="B586" t="s">
        <v>475</v>
      </c>
      <c r="C586">
        <v>112012</v>
      </c>
      <c r="D586">
        <v>85.65</v>
      </c>
      <c r="E586" s="9">
        <v>43271</v>
      </c>
    </row>
    <row r="587" spans="1:5" x14ac:dyDescent="0.45">
      <c r="A587" t="s">
        <v>127</v>
      </c>
      <c r="B587" t="s">
        <v>475</v>
      </c>
      <c r="C587">
        <v>115627</v>
      </c>
      <c r="D587">
        <v>73.53</v>
      </c>
      <c r="E587" s="9">
        <v>43300</v>
      </c>
    </row>
    <row r="588" spans="1:5" x14ac:dyDescent="0.45">
      <c r="A588" t="s">
        <v>127</v>
      </c>
      <c r="B588" t="s">
        <v>475</v>
      </c>
      <c r="C588">
        <v>121788</v>
      </c>
      <c r="D588">
        <v>64.03</v>
      </c>
      <c r="E588" s="9">
        <v>43382</v>
      </c>
    </row>
    <row r="589" spans="1:5" x14ac:dyDescent="0.45">
      <c r="A589" t="s">
        <v>127</v>
      </c>
      <c r="B589" t="s">
        <v>475</v>
      </c>
      <c r="C589">
        <v>122368</v>
      </c>
      <c r="D589">
        <v>37</v>
      </c>
      <c r="E589" s="9">
        <v>43388</v>
      </c>
    </row>
    <row r="590" spans="1:5" x14ac:dyDescent="0.45">
      <c r="A590" t="s">
        <v>127</v>
      </c>
      <c r="B590" t="s">
        <v>475</v>
      </c>
      <c r="C590">
        <v>128559</v>
      </c>
      <c r="D590">
        <v>75.34</v>
      </c>
      <c r="E590" s="9">
        <v>43451</v>
      </c>
    </row>
    <row r="591" spans="1:5" x14ac:dyDescent="0.45">
      <c r="A591" t="s">
        <v>127</v>
      </c>
      <c r="B591" t="s">
        <v>475</v>
      </c>
      <c r="C591">
        <v>131147</v>
      </c>
      <c r="D591">
        <v>1489.93</v>
      </c>
      <c r="E591" s="9">
        <v>43487</v>
      </c>
    </row>
    <row r="592" spans="1:5" x14ac:dyDescent="0.45">
      <c r="A592" t="s">
        <v>127</v>
      </c>
      <c r="B592" t="s">
        <v>475</v>
      </c>
      <c r="C592">
        <v>132120</v>
      </c>
      <c r="D592">
        <v>101.83</v>
      </c>
      <c r="E592" s="9">
        <v>43501</v>
      </c>
    </row>
    <row r="593" spans="1:5" x14ac:dyDescent="0.45">
      <c r="A593" t="s">
        <v>127</v>
      </c>
      <c r="B593" t="s">
        <v>475</v>
      </c>
      <c r="C593">
        <v>139253</v>
      </c>
      <c r="D593">
        <v>263.33</v>
      </c>
      <c r="E593" s="9">
        <v>43574</v>
      </c>
    </row>
    <row r="594" spans="1:5" x14ac:dyDescent="0.45">
      <c r="A594" t="s">
        <v>127</v>
      </c>
      <c r="B594" t="s">
        <v>475</v>
      </c>
      <c r="C594">
        <v>142221</v>
      </c>
      <c r="D594">
        <v>127.32</v>
      </c>
      <c r="E594" s="9">
        <v>43610</v>
      </c>
    </row>
    <row r="595" spans="1:5" x14ac:dyDescent="0.45">
      <c r="A595" t="s">
        <v>127</v>
      </c>
      <c r="B595" t="s">
        <v>475</v>
      </c>
      <c r="C595" s="14">
        <v>150000</v>
      </c>
      <c r="D595">
        <v>2259.1799999999998</v>
      </c>
      <c r="E595" s="9">
        <v>43690</v>
      </c>
    </row>
    <row r="596" spans="1:5" x14ac:dyDescent="0.45">
      <c r="A596" t="s">
        <v>127</v>
      </c>
      <c r="B596" t="s">
        <v>475</v>
      </c>
      <c r="C596">
        <v>157229</v>
      </c>
      <c r="D596">
        <v>4200.76</v>
      </c>
      <c r="E596" s="9">
        <v>43801</v>
      </c>
    </row>
    <row r="597" spans="1:5" x14ac:dyDescent="0.45">
      <c r="A597" t="s">
        <v>127</v>
      </c>
      <c r="B597" t="s">
        <v>475</v>
      </c>
      <c r="C597">
        <v>164478</v>
      </c>
      <c r="D597">
        <v>80</v>
      </c>
      <c r="E597" s="9">
        <v>43910</v>
      </c>
    </row>
    <row r="598" spans="1:5" x14ac:dyDescent="0.45">
      <c r="A598" t="s">
        <v>128</v>
      </c>
      <c r="B598" t="s">
        <v>478</v>
      </c>
      <c r="C598">
        <v>236869</v>
      </c>
      <c r="D598">
        <v>709.56</v>
      </c>
      <c r="E598" s="9">
        <v>43829</v>
      </c>
    </row>
    <row r="599" spans="1:5" x14ac:dyDescent="0.45">
      <c r="A599" t="s">
        <v>128</v>
      </c>
      <c r="B599" t="s">
        <v>478</v>
      </c>
      <c r="C599">
        <v>233996</v>
      </c>
      <c r="D599">
        <v>133.38999999999999</v>
      </c>
      <c r="E599" s="9">
        <v>43796</v>
      </c>
    </row>
    <row r="600" spans="1:5" x14ac:dyDescent="0.45">
      <c r="A600" t="s">
        <v>128</v>
      </c>
      <c r="B600" t="s">
        <v>478</v>
      </c>
      <c r="C600">
        <v>226301</v>
      </c>
      <c r="D600">
        <v>88.36</v>
      </c>
      <c r="E600" s="9">
        <v>43719</v>
      </c>
    </row>
    <row r="601" spans="1:5" x14ac:dyDescent="0.45">
      <c r="A601" t="s">
        <v>128</v>
      </c>
      <c r="B601" t="s">
        <v>478</v>
      </c>
      <c r="C601">
        <v>218006</v>
      </c>
      <c r="D601">
        <v>68.540000000000006</v>
      </c>
      <c r="E601" s="9">
        <v>43636</v>
      </c>
    </row>
    <row r="602" spans="1:5" x14ac:dyDescent="0.45">
      <c r="A602" t="s">
        <v>128</v>
      </c>
      <c r="B602" t="s">
        <v>478</v>
      </c>
      <c r="C602">
        <v>211831</v>
      </c>
      <c r="D602">
        <v>68.540000000000006</v>
      </c>
      <c r="E602" s="9">
        <v>43572</v>
      </c>
    </row>
    <row r="603" spans="1:5" x14ac:dyDescent="0.45">
      <c r="A603" t="s">
        <v>128</v>
      </c>
      <c r="B603" t="s">
        <v>478</v>
      </c>
      <c r="C603">
        <v>205107</v>
      </c>
      <c r="D603">
        <v>107.13</v>
      </c>
      <c r="E603" s="9">
        <v>43497</v>
      </c>
    </row>
    <row r="604" spans="1:5" x14ac:dyDescent="0.45">
      <c r="A604" t="s">
        <v>128</v>
      </c>
      <c r="B604" t="s">
        <v>478</v>
      </c>
      <c r="C604">
        <v>201481</v>
      </c>
      <c r="D604">
        <v>68.540000000000006</v>
      </c>
      <c r="E604" s="9">
        <v>43384</v>
      </c>
    </row>
    <row r="605" spans="1:5" x14ac:dyDescent="0.45">
      <c r="A605" t="s">
        <v>128</v>
      </c>
      <c r="B605" t="s">
        <v>478</v>
      </c>
      <c r="C605">
        <v>196524</v>
      </c>
      <c r="D605">
        <v>74.28</v>
      </c>
      <c r="E605" s="9">
        <v>43311</v>
      </c>
    </row>
    <row r="606" spans="1:5" x14ac:dyDescent="0.45">
      <c r="A606" t="s">
        <v>128</v>
      </c>
      <c r="B606" t="s">
        <v>478</v>
      </c>
      <c r="C606">
        <v>191429</v>
      </c>
      <c r="D606">
        <v>87.96</v>
      </c>
      <c r="E606" s="9">
        <v>43251</v>
      </c>
    </row>
    <row r="607" spans="1:5" x14ac:dyDescent="0.45">
      <c r="A607" t="s">
        <v>128</v>
      </c>
      <c r="B607" t="s">
        <v>478</v>
      </c>
      <c r="C607">
        <v>190829</v>
      </c>
      <c r="D607">
        <v>2453.88</v>
      </c>
      <c r="E607" s="9">
        <v>43230</v>
      </c>
    </row>
    <row r="608" spans="1:5" x14ac:dyDescent="0.45">
      <c r="A608" t="s">
        <v>128</v>
      </c>
      <c r="B608" t="s">
        <v>478</v>
      </c>
      <c r="C608">
        <v>187974</v>
      </c>
      <c r="D608">
        <v>148.97</v>
      </c>
      <c r="E608" s="9">
        <v>43181</v>
      </c>
    </row>
    <row r="609" spans="1:5" x14ac:dyDescent="0.45">
      <c r="A609" t="s">
        <v>128</v>
      </c>
      <c r="B609" t="s">
        <v>478</v>
      </c>
      <c r="C609">
        <v>187661</v>
      </c>
      <c r="D609">
        <v>0</v>
      </c>
      <c r="E609" s="9">
        <v>43174</v>
      </c>
    </row>
    <row r="610" spans="1:5" x14ac:dyDescent="0.45">
      <c r="A610" t="s">
        <v>128</v>
      </c>
      <c r="B610" t="s">
        <v>478</v>
      </c>
      <c r="C610">
        <v>184974</v>
      </c>
      <c r="D610">
        <v>74.28</v>
      </c>
      <c r="E610" s="9">
        <v>43115</v>
      </c>
    </row>
    <row r="611" spans="1:5" x14ac:dyDescent="0.45">
      <c r="A611" t="s">
        <v>128</v>
      </c>
      <c r="B611" t="s">
        <v>478</v>
      </c>
      <c r="C611">
        <v>180955</v>
      </c>
      <c r="D611">
        <v>207.81</v>
      </c>
      <c r="E611" s="9">
        <v>43066</v>
      </c>
    </row>
    <row r="612" spans="1:5" x14ac:dyDescent="0.45">
      <c r="A612" t="s">
        <v>128</v>
      </c>
      <c r="B612" t="s">
        <v>478</v>
      </c>
      <c r="C612">
        <v>180716</v>
      </c>
      <c r="D612">
        <v>1041.1400000000001</v>
      </c>
      <c r="E612" s="9">
        <v>43055</v>
      </c>
    </row>
    <row r="613" spans="1:5" x14ac:dyDescent="0.45">
      <c r="A613" t="s">
        <v>128</v>
      </c>
      <c r="B613" t="s">
        <v>478</v>
      </c>
      <c r="C613">
        <v>178102</v>
      </c>
      <c r="D613">
        <v>100.77</v>
      </c>
      <c r="E613" s="9">
        <v>43021</v>
      </c>
    </row>
    <row r="614" spans="1:5" x14ac:dyDescent="0.45">
      <c r="A614" t="s">
        <v>128</v>
      </c>
      <c r="B614" t="s">
        <v>478</v>
      </c>
      <c r="C614">
        <v>173672</v>
      </c>
      <c r="D614">
        <v>62.93</v>
      </c>
      <c r="E614" s="9">
        <v>42954</v>
      </c>
    </row>
    <row r="615" spans="1:5" x14ac:dyDescent="0.45">
      <c r="A615" t="s">
        <v>128</v>
      </c>
      <c r="B615" t="s">
        <v>478</v>
      </c>
      <c r="C615">
        <v>171521</v>
      </c>
      <c r="D615">
        <v>1178.95</v>
      </c>
      <c r="E615" s="9">
        <v>42923</v>
      </c>
    </row>
    <row r="616" spans="1:5" x14ac:dyDescent="0.45">
      <c r="A616" t="s">
        <v>128</v>
      </c>
      <c r="B616" t="s">
        <v>478</v>
      </c>
      <c r="C616">
        <v>166321</v>
      </c>
      <c r="D616">
        <v>127.02</v>
      </c>
      <c r="E616" s="9">
        <v>42902</v>
      </c>
    </row>
    <row r="617" spans="1:5" x14ac:dyDescent="0.45">
      <c r="A617" t="s">
        <v>128</v>
      </c>
      <c r="B617" t="s">
        <v>478</v>
      </c>
      <c r="C617">
        <v>169013</v>
      </c>
      <c r="D617">
        <v>125</v>
      </c>
      <c r="E617" s="9">
        <v>42901</v>
      </c>
    </row>
    <row r="618" spans="1:5" x14ac:dyDescent="0.45">
      <c r="A618" t="s">
        <v>128</v>
      </c>
      <c r="B618" t="s">
        <v>478</v>
      </c>
      <c r="C618">
        <v>166321</v>
      </c>
      <c r="D618">
        <v>85.44</v>
      </c>
      <c r="E618" s="9">
        <v>42878</v>
      </c>
    </row>
    <row r="619" spans="1:5" x14ac:dyDescent="0.45">
      <c r="A619" t="s">
        <v>128</v>
      </c>
      <c r="B619" t="s">
        <v>478</v>
      </c>
      <c r="C619">
        <v>165461</v>
      </c>
      <c r="D619">
        <v>0</v>
      </c>
      <c r="E619" s="9">
        <v>42844</v>
      </c>
    </row>
    <row r="620" spans="1:5" x14ac:dyDescent="0.45">
      <c r="A620" t="s">
        <v>128</v>
      </c>
      <c r="B620" t="s">
        <v>478</v>
      </c>
      <c r="C620">
        <v>162461</v>
      </c>
      <c r="D620">
        <v>135.37</v>
      </c>
      <c r="E620" s="9">
        <v>42844</v>
      </c>
    </row>
    <row r="621" spans="1:5" x14ac:dyDescent="0.45">
      <c r="A621" t="s">
        <v>128</v>
      </c>
      <c r="B621" t="s">
        <v>478</v>
      </c>
      <c r="C621">
        <v>159819</v>
      </c>
      <c r="D621">
        <v>314.36</v>
      </c>
      <c r="E621" s="9">
        <v>42819</v>
      </c>
    </row>
    <row r="622" spans="1:5" x14ac:dyDescent="0.45">
      <c r="A622" t="s">
        <v>128</v>
      </c>
      <c r="B622" t="s">
        <v>478</v>
      </c>
      <c r="C622">
        <v>157191</v>
      </c>
      <c r="D622">
        <v>80</v>
      </c>
      <c r="E622" s="9">
        <v>42789</v>
      </c>
    </row>
    <row r="623" spans="1:5" x14ac:dyDescent="0.45">
      <c r="A623" t="s">
        <v>128</v>
      </c>
      <c r="B623" t="s">
        <v>478</v>
      </c>
      <c r="C623">
        <v>156454</v>
      </c>
      <c r="D623">
        <v>125</v>
      </c>
      <c r="E623" s="9">
        <v>42783</v>
      </c>
    </row>
    <row r="624" spans="1:5" x14ac:dyDescent="0.45">
      <c r="A624" t="s">
        <v>128</v>
      </c>
      <c r="B624" t="s">
        <v>478</v>
      </c>
      <c r="C624">
        <v>152671</v>
      </c>
      <c r="D624">
        <v>80</v>
      </c>
      <c r="E624" s="9">
        <v>42747</v>
      </c>
    </row>
    <row r="625" spans="1:5" x14ac:dyDescent="0.45">
      <c r="A625" t="s">
        <v>128</v>
      </c>
      <c r="B625" t="s">
        <v>478</v>
      </c>
      <c r="C625">
        <v>149766</v>
      </c>
      <c r="D625">
        <v>125</v>
      </c>
      <c r="E625" s="9">
        <v>42723</v>
      </c>
    </row>
    <row r="626" spans="1:5" x14ac:dyDescent="0.45">
      <c r="A626" t="s">
        <v>128</v>
      </c>
      <c r="B626" t="s">
        <v>478</v>
      </c>
      <c r="C626">
        <v>145296</v>
      </c>
      <c r="D626">
        <v>80</v>
      </c>
      <c r="E626" s="9">
        <v>42684</v>
      </c>
    </row>
    <row r="627" spans="1:5" x14ac:dyDescent="0.45">
      <c r="A627" t="s">
        <v>128</v>
      </c>
      <c r="B627" t="s">
        <v>478</v>
      </c>
      <c r="C627">
        <v>141175</v>
      </c>
      <c r="D627">
        <v>100</v>
      </c>
      <c r="E627" s="9">
        <v>42596</v>
      </c>
    </row>
    <row r="628" spans="1:5" x14ac:dyDescent="0.45">
      <c r="A628" t="s">
        <v>128</v>
      </c>
      <c r="B628" t="s">
        <v>478</v>
      </c>
      <c r="C628">
        <v>134609</v>
      </c>
      <c r="D628">
        <v>100</v>
      </c>
      <c r="E628" s="9">
        <v>42514</v>
      </c>
    </row>
    <row r="629" spans="1:5" x14ac:dyDescent="0.45">
      <c r="A629" t="s">
        <v>128</v>
      </c>
      <c r="B629" t="s">
        <v>478</v>
      </c>
      <c r="C629" s="14">
        <v>130000</v>
      </c>
      <c r="D629">
        <v>100</v>
      </c>
      <c r="E629" s="9">
        <v>42451</v>
      </c>
    </row>
    <row r="630" spans="1:5" x14ac:dyDescent="0.45">
      <c r="A630" t="s">
        <v>128</v>
      </c>
      <c r="B630" t="s">
        <v>478</v>
      </c>
      <c r="C630">
        <v>126198</v>
      </c>
      <c r="D630">
        <v>80</v>
      </c>
      <c r="E630" s="9">
        <v>42413</v>
      </c>
    </row>
    <row r="631" spans="1:5" x14ac:dyDescent="0.45">
      <c r="A631" t="s">
        <v>128</v>
      </c>
      <c r="B631" t="s">
        <v>478</v>
      </c>
      <c r="C631">
        <v>122546</v>
      </c>
      <c r="D631">
        <v>125</v>
      </c>
      <c r="E631" s="9">
        <v>42366</v>
      </c>
    </row>
    <row r="632" spans="1:5" x14ac:dyDescent="0.45">
      <c r="A632" t="s">
        <v>128</v>
      </c>
      <c r="B632" t="s">
        <v>478</v>
      </c>
      <c r="C632">
        <v>116644</v>
      </c>
      <c r="D632">
        <v>100</v>
      </c>
      <c r="E632" s="9">
        <v>42297</v>
      </c>
    </row>
    <row r="633" spans="1:5" x14ac:dyDescent="0.45">
      <c r="A633" t="s">
        <v>128</v>
      </c>
      <c r="B633" t="s">
        <v>478</v>
      </c>
      <c r="C633">
        <v>113983</v>
      </c>
      <c r="D633">
        <v>706.72</v>
      </c>
      <c r="E633" s="9">
        <v>42235</v>
      </c>
    </row>
    <row r="634" spans="1:5" x14ac:dyDescent="0.45">
      <c r="A634" t="s">
        <v>128</v>
      </c>
      <c r="B634" t="s">
        <v>478</v>
      </c>
      <c r="C634">
        <v>111962</v>
      </c>
      <c r="D634">
        <v>168.07</v>
      </c>
      <c r="E634" s="9">
        <v>42213</v>
      </c>
    </row>
    <row r="635" spans="1:5" x14ac:dyDescent="0.45">
      <c r="A635" t="s">
        <v>128</v>
      </c>
      <c r="B635" t="s">
        <v>478</v>
      </c>
      <c r="C635">
        <v>103042</v>
      </c>
      <c r="D635">
        <v>851.63</v>
      </c>
      <c r="E635" s="9">
        <v>42122</v>
      </c>
    </row>
    <row r="636" spans="1:5" x14ac:dyDescent="0.45">
      <c r="A636" t="s">
        <v>128</v>
      </c>
      <c r="B636" t="s">
        <v>478</v>
      </c>
      <c r="C636">
        <v>98395</v>
      </c>
      <c r="D636">
        <v>59.37</v>
      </c>
      <c r="E636" s="9">
        <v>42069</v>
      </c>
    </row>
    <row r="637" spans="1:5" x14ac:dyDescent="0.45">
      <c r="A637" t="s">
        <v>128</v>
      </c>
      <c r="B637" t="s">
        <v>478</v>
      </c>
      <c r="C637" s="14">
        <v>97000</v>
      </c>
      <c r="D637">
        <v>175.81</v>
      </c>
      <c r="E637" s="9">
        <v>42062</v>
      </c>
    </row>
    <row r="638" spans="1:5" x14ac:dyDescent="0.45">
      <c r="A638" t="s">
        <v>128</v>
      </c>
      <c r="B638" t="s">
        <v>478</v>
      </c>
      <c r="C638" s="14">
        <v>96000</v>
      </c>
      <c r="D638">
        <v>92.47</v>
      </c>
      <c r="E638" s="9">
        <v>42032</v>
      </c>
    </row>
    <row r="639" spans="1:5" x14ac:dyDescent="0.45">
      <c r="A639" t="s">
        <v>128</v>
      </c>
      <c r="B639" t="s">
        <v>478</v>
      </c>
      <c r="C639">
        <v>95346</v>
      </c>
      <c r="D639">
        <v>330</v>
      </c>
      <c r="E639" s="9">
        <v>42030</v>
      </c>
    </row>
    <row r="640" spans="1:5" x14ac:dyDescent="0.45">
      <c r="A640" t="s">
        <v>128</v>
      </c>
      <c r="B640" t="s">
        <v>478</v>
      </c>
      <c r="C640">
        <v>94611</v>
      </c>
      <c r="D640">
        <v>52.98</v>
      </c>
      <c r="E640" s="9">
        <v>42025</v>
      </c>
    </row>
    <row r="641" spans="1:5" x14ac:dyDescent="0.45">
      <c r="A641" t="s">
        <v>128</v>
      </c>
      <c r="B641" t="s">
        <v>478</v>
      </c>
      <c r="C641" s="14">
        <v>92000</v>
      </c>
      <c r="D641">
        <v>80</v>
      </c>
      <c r="E641" s="9">
        <v>42005</v>
      </c>
    </row>
    <row r="642" spans="1:5" x14ac:dyDescent="0.45">
      <c r="A642" t="s">
        <v>128</v>
      </c>
      <c r="B642" t="s">
        <v>478</v>
      </c>
      <c r="C642">
        <v>89383</v>
      </c>
      <c r="D642">
        <v>163.05000000000001</v>
      </c>
      <c r="E642" s="9">
        <v>41972</v>
      </c>
    </row>
    <row r="643" spans="1:5" x14ac:dyDescent="0.45">
      <c r="A643" t="s">
        <v>128</v>
      </c>
      <c r="B643" t="s">
        <v>478</v>
      </c>
      <c r="C643">
        <v>78880</v>
      </c>
      <c r="D643">
        <v>177.88</v>
      </c>
      <c r="E643" s="9">
        <v>41747</v>
      </c>
    </row>
    <row r="644" spans="1:5" x14ac:dyDescent="0.45">
      <c r="A644" t="s">
        <v>128</v>
      </c>
      <c r="B644" t="s">
        <v>478</v>
      </c>
      <c r="C644">
        <v>74851</v>
      </c>
      <c r="D644">
        <v>875.55</v>
      </c>
      <c r="E644" s="9">
        <v>41675</v>
      </c>
    </row>
    <row r="645" spans="1:5" x14ac:dyDescent="0.45">
      <c r="A645" t="s">
        <v>128</v>
      </c>
      <c r="B645" t="s">
        <v>478</v>
      </c>
      <c r="C645">
        <v>73707</v>
      </c>
      <c r="D645">
        <v>32.92</v>
      </c>
      <c r="E645" s="9">
        <v>41656</v>
      </c>
    </row>
    <row r="646" spans="1:5" x14ac:dyDescent="0.45">
      <c r="A646" t="s">
        <v>128</v>
      </c>
      <c r="B646" t="s">
        <v>478</v>
      </c>
      <c r="C646">
        <v>67536</v>
      </c>
      <c r="D646">
        <v>212.77</v>
      </c>
      <c r="E646" s="9">
        <v>41549</v>
      </c>
    </row>
    <row r="647" spans="1:5" x14ac:dyDescent="0.45">
      <c r="A647" t="s">
        <v>128</v>
      </c>
      <c r="B647" t="s">
        <v>478</v>
      </c>
      <c r="C647">
        <v>65596</v>
      </c>
      <c r="D647">
        <v>38.46</v>
      </c>
      <c r="E647" s="9">
        <v>41520</v>
      </c>
    </row>
    <row r="648" spans="1:5" x14ac:dyDescent="0.45">
      <c r="A648" t="s">
        <v>128</v>
      </c>
      <c r="B648" t="s">
        <v>478</v>
      </c>
      <c r="C648">
        <v>55440</v>
      </c>
      <c r="D648">
        <v>75.13</v>
      </c>
      <c r="E648" s="9">
        <v>41359</v>
      </c>
    </row>
    <row r="649" spans="1:5" x14ac:dyDescent="0.45">
      <c r="A649" t="s">
        <v>128</v>
      </c>
      <c r="B649" t="s">
        <v>478</v>
      </c>
      <c r="C649">
        <v>51725</v>
      </c>
      <c r="D649">
        <v>80</v>
      </c>
      <c r="E649" s="9">
        <v>41302</v>
      </c>
    </row>
    <row r="650" spans="1:5" x14ac:dyDescent="0.45">
      <c r="A650" t="s">
        <v>128</v>
      </c>
      <c r="B650" t="s">
        <v>478</v>
      </c>
      <c r="C650">
        <v>42705</v>
      </c>
      <c r="D650">
        <v>48.37</v>
      </c>
      <c r="E650" s="9">
        <v>41165</v>
      </c>
    </row>
    <row r="651" spans="1:5" x14ac:dyDescent="0.45">
      <c r="A651" t="s">
        <v>128</v>
      </c>
      <c r="B651" t="s">
        <v>478</v>
      </c>
      <c r="C651">
        <v>32536</v>
      </c>
      <c r="D651">
        <v>80</v>
      </c>
      <c r="E651" s="9">
        <v>41010</v>
      </c>
    </row>
    <row r="652" spans="1:5" x14ac:dyDescent="0.45">
      <c r="A652" t="s">
        <v>128</v>
      </c>
      <c r="B652" t="s">
        <v>478</v>
      </c>
      <c r="C652">
        <v>25954</v>
      </c>
      <c r="D652">
        <v>833.92</v>
      </c>
      <c r="E652" s="9">
        <v>40920</v>
      </c>
    </row>
    <row r="653" spans="1:5" x14ac:dyDescent="0.45">
      <c r="A653" t="s">
        <v>128</v>
      </c>
      <c r="B653" t="s">
        <v>478</v>
      </c>
      <c r="C653">
        <v>25762</v>
      </c>
      <c r="D653">
        <v>80</v>
      </c>
      <c r="E653" s="9">
        <v>40917</v>
      </c>
    </row>
    <row r="654" spans="1:5" x14ac:dyDescent="0.45">
      <c r="A654" t="s">
        <v>128</v>
      </c>
      <c r="B654" t="s">
        <v>478</v>
      </c>
      <c r="C654">
        <v>22157</v>
      </c>
      <c r="D654">
        <v>113.27</v>
      </c>
      <c r="E654" s="9">
        <v>40868</v>
      </c>
    </row>
    <row r="655" spans="1:5" x14ac:dyDescent="0.45">
      <c r="A655" t="s">
        <v>128</v>
      </c>
      <c r="B655" t="s">
        <v>478</v>
      </c>
      <c r="C655">
        <v>15963</v>
      </c>
      <c r="D655">
        <v>51.63</v>
      </c>
      <c r="E655" s="9">
        <v>40784</v>
      </c>
    </row>
    <row r="656" spans="1:5" x14ac:dyDescent="0.45">
      <c r="A656" t="s">
        <v>128</v>
      </c>
      <c r="B656" t="s">
        <v>478</v>
      </c>
      <c r="C656">
        <v>7492</v>
      </c>
      <c r="D656">
        <v>32.92</v>
      </c>
      <c r="E656" s="9">
        <v>40679</v>
      </c>
    </row>
    <row r="657" spans="1:5" x14ac:dyDescent="0.45">
      <c r="A657" t="s">
        <v>129</v>
      </c>
      <c r="B657" t="s">
        <v>481</v>
      </c>
      <c r="C657">
        <v>258096</v>
      </c>
      <c r="D657">
        <v>73.989999999999995</v>
      </c>
      <c r="E657" s="9">
        <v>43893</v>
      </c>
    </row>
    <row r="658" spans="1:5" x14ac:dyDescent="0.45">
      <c r="A658" t="s">
        <v>129</v>
      </c>
      <c r="B658" t="s">
        <v>481</v>
      </c>
      <c r="C658">
        <v>251568</v>
      </c>
      <c r="D658">
        <v>101</v>
      </c>
      <c r="E658" s="9">
        <v>43811</v>
      </c>
    </row>
    <row r="659" spans="1:5" x14ac:dyDescent="0.45">
      <c r="A659" t="s">
        <v>129</v>
      </c>
      <c r="B659" t="s">
        <v>481</v>
      </c>
      <c r="C659">
        <v>251568</v>
      </c>
      <c r="D659">
        <v>120.16</v>
      </c>
      <c r="E659" s="9">
        <v>43811</v>
      </c>
    </row>
    <row r="660" spans="1:5" x14ac:dyDescent="0.45">
      <c r="A660" t="s">
        <v>129</v>
      </c>
      <c r="B660" t="s">
        <v>481</v>
      </c>
      <c r="C660">
        <v>246364</v>
      </c>
      <c r="D660">
        <v>173.13</v>
      </c>
      <c r="E660" s="9">
        <v>43739</v>
      </c>
    </row>
    <row r="661" spans="1:5" x14ac:dyDescent="0.45">
      <c r="A661" t="s">
        <v>129</v>
      </c>
      <c r="B661" t="s">
        <v>481</v>
      </c>
      <c r="C661">
        <v>238912</v>
      </c>
      <c r="D661">
        <v>146.65</v>
      </c>
      <c r="E661" s="9">
        <v>43663</v>
      </c>
    </row>
    <row r="662" spans="1:5" x14ac:dyDescent="0.45">
      <c r="A662" t="s">
        <v>129</v>
      </c>
      <c r="B662" t="s">
        <v>481</v>
      </c>
      <c r="C662">
        <v>221681</v>
      </c>
      <c r="D662">
        <v>1532.9</v>
      </c>
      <c r="E662" s="9">
        <v>43449</v>
      </c>
    </row>
    <row r="663" spans="1:5" x14ac:dyDescent="0.45">
      <c r="A663" t="s">
        <v>129</v>
      </c>
      <c r="B663" t="s">
        <v>481</v>
      </c>
      <c r="C663">
        <v>221108</v>
      </c>
      <c r="D663">
        <v>87.93</v>
      </c>
      <c r="E663" s="9">
        <v>43445</v>
      </c>
    </row>
    <row r="664" spans="1:5" x14ac:dyDescent="0.45">
      <c r="A664" t="s">
        <v>129</v>
      </c>
      <c r="B664" t="s">
        <v>481</v>
      </c>
      <c r="C664">
        <v>215741</v>
      </c>
      <c r="D664">
        <v>120.16</v>
      </c>
      <c r="E664" s="9">
        <v>43390</v>
      </c>
    </row>
    <row r="665" spans="1:5" x14ac:dyDescent="0.45">
      <c r="A665" t="s">
        <v>129</v>
      </c>
      <c r="B665" t="s">
        <v>481</v>
      </c>
      <c r="C665">
        <v>209832</v>
      </c>
      <c r="D665">
        <v>118.04</v>
      </c>
      <c r="E665" s="9">
        <v>43332</v>
      </c>
    </row>
    <row r="666" spans="1:5" x14ac:dyDescent="0.45">
      <c r="A666" t="s">
        <v>129</v>
      </c>
      <c r="B666" t="s">
        <v>481</v>
      </c>
      <c r="C666">
        <v>205680</v>
      </c>
      <c r="D666">
        <v>118.04</v>
      </c>
      <c r="E666" s="9">
        <v>43291</v>
      </c>
    </row>
    <row r="667" spans="1:5" x14ac:dyDescent="0.45">
      <c r="A667" t="s">
        <v>129</v>
      </c>
      <c r="B667" t="s">
        <v>481</v>
      </c>
      <c r="C667">
        <v>199435</v>
      </c>
      <c r="D667">
        <v>472.64</v>
      </c>
      <c r="E667" s="9">
        <v>43217</v>
      </c>
    </row>
    <row r="668" spans="1:5" x14ac:dyDescent="0.45">
      <c r="A668" t="s">
        <v>129</v>
      </c>
      <c r="B668" t="s">
        <v>481</v>
      </c>
      <c r="C668">
        <v>196702</v>
      </c>
      <c r="D668">
        <v>0</v>
      </c>
      <c r="E668" s="9">
        <v>43180</v>
      </c>
    </row>
    <row r="669" spans="1:5" x14ac:dyDescent="0.45">
      <c r="A669" t="s">
        <v>129</v>
      </c>
      <c r="B669" t="s">
        <v>481</v>
      </c>
      <c r="C669">
        <v>168138</v>
      </c>
      <c r="D669">
        <v>0</v>
      </c>
      <c r="E669" s="9">
        <v>43174</v>
      </c>
    </row>
    <row r="670" spans="1:5" x14ac:dyDescent="0.45">
      <c r="A670" t="s">
        <v>129</v>
      </c>
      <c r="B670" t="s">
        <v>481</v>
      </c>
      <c r="C670">
        <v>194839</v>
      </c>
      <c r="D670">
        <v>1436.53</v>
      </c>
      <c r="E670" s="9">
        <v>43166</v>
      </c>
    </row>
    <row r="671" spans="1:5" x14ac:dyDescent="0.45">
      <c r="A671" t="s">
        <v>129</v>
      </c>
      <c r="B671" t="s">
        <v>481</v>
      </c>
      <c r="C671">
        <v>166618</v>
      </c>
      <c r="D671">
        <v>101.84</v>
      </c>
      <c r="E671" s="9">
        <v>43157</v>
      </c>
    </row>
    <row r="672" spans="1:5" x14ac:dyDescent="0.45">
      <c r="A672" t="s">
        <v>129</v>
      </c>
      <c r="B672" t="s">
        <v>481</v>
      </c>
      <c r="C672">
        <v>164509</v>
      </c>
      <c r="D672">
        <v>2970.66</v>
      </c>
      <c r="E672" s="9">
        <v>43138</v>
      </c>
    </row>
    <row r="673" spans="1:5" x14ac:dyDescent="0.45">
      <c r="A673" t="s">
        <v>129</v>
      </c>
      <c r="B673" t="s">
        <v>481</v>
      </c>
      <c r="C673">
        <v>191353</v>
      </c>
      <c r="D673">
        <v>118.04</v>
      </c>
      <c r="E673" s="9">
        <v>43116</v>
      </c>
    </row>
    <row r="674" spans="1:5" x14ac:dyDescent="0.45">
      <c r="A674" t="s">
        <v>129</v>
      </c>
      <c r="B674" t="s">
        <v>481</v>
      </c>
      <c r="C674">
        <v>160196</v>
      </c>
      <c r="D674">
        <v>154.82</v>
      </c>
      <c r="E674" s="9">
        <v>43098</v>
      </c>
    </row>
    <row r="675" spans="1:5" x14ac:dyDescent="0.45">
      <c r="A675" t="s">
        <v>129</v>
      </c>
      <c r="B675" t="s">
        <v>481</v>
      </c>
      <c r="C675">
        <v>185789</v>
      </c>
      <c r="D675">
        <v>276.07</v>
      </c>
      <c r="E675" s="9">
        <v>43059</v>
      </c>
    </row>
    <row r="676" spans="1:5" x14ac:dyDescent="0.45">
      <c r="A676" t="s">
        <v>129</v>
      </c>
      <c r="B676" t="s">
        <v>481</v>
      </c>
      <c r="C676">
        <v>155960</v>
      </c>
      <c r="D676">
        <v>101.84</v>
      </c>
      <c r="E676" s="9">
        <v>43055</v>
      </c>
    </row>
    <row r="677" spans="1:5" x14ac:dyDescent="0.45">
      <c r="A677" t="s">
        <v>129</v>
      </c>
      <c r="B677" t="s">
        <v>481</v>
      </c>
      <c r="C677">
        <v>151947</v>
      </c>
      <c r="D677">
        <v>101.84</v>
      </c>
      <c r="E677" s="9">
        <v>43020</v>
      </c>
    </row>
    <row r="678" spans="1:5" x14ac:dyDescent="0.45">
      <c r="A678" t="s">
        <v>129</v>
      </c>
      <c r="B678" t="s">
        <v>481</v>
      </c>
      <c r="C678">
        <v>179040</v>
      </c>
      <c r="D678">
        <v>148.19999999999999</v>
      </c>
      <c r="E678" s="9">
        <v>43003</v>
      </c>
    </row>
    <row r="679" spans="1:5" x14ac:dyDescent="0.45">
      <c r="A679" t="s">
        <v>129</v>
      </c>
      <c r="B679" t="s">
        <v>481</v>
      </c>
      <c r="C679">
        <v>148851</v>
      </c>
      <c r="D679">
        <v>184.25</v>
      </c>
      <c r="E679" s="9">
        <v>42994</v>
      </c>
    </row>
    <row r="680" spans="1:5" x14ac:dyDescent="0.45">
      <c r="A680" t="s">
        <v>129</v>
      </c>
      <c r="B680" t="s">
        <v>481</v>
      </c>
      <c r="C680">
        <v>145203</v>
      </c>
      <c r="D680">
        <v>102.66</v>
      </c>
      <c r="E680" s="9">
        <v>42967</v>
      </c>
    </row>
    <row r="681" spans="1:5" x14ac:dyDescent="0.45">
      <c r="A681" t="s">
        <v>129</v>
      </c>
      <c r="B681" t="s">
        <v>481</v>
      </c>
      <c r="C681">
        <v>173340</v>
      </c>
      <c r="D681">
        <v>195.76</v>
      </c>
      <c r="E681" s="9">
        <v>42945</v>
      </c>
    </row>
    <row r="682" spans="1:5" x14ac:dyDescent="0.45">
      <c r="A682" t="s">
        <v>129</v>
      </c>
      <c r="B682" t="s">
        <v>481</v>
      </c>
      <c r="C682">
        <v>167860</v>
      </c>
      <c r="D682">
        <v>102.56</v>
      </c>
      <c r="E682" s="9">
        <v>42894</v>
      </c>
    </row>
    <row r="683" spans="1:5" x14ac:dyDescent="0.45">
      <c r="A683" t="s">
        <v>129</v>
      </c>
      <c r="B683" t="s">
        <v>481</v>
      </c>
      <c r="C683">
        <v>163486</v>
      </c>
      <c r="D683">
        <v>325.35000000000002</v>
      </c>
      <c r="E683" s="9">
        <v>42824</v>
      </c>
    </row>
    <row r="684" spans="1:5" x14ac:dyDescent="0.45">
      <c r="A684" t="s">
        <v>129</v>
      </c>
      <c r="B684" t="s">
        <v>481</v>
      </c>
      <c r="C684">
        <v>159033</v>
      </c>
      <c r="D684">
        <v>149.27000000000001</v>
      </c>
      <c r="E684" s="9">
        <v>42758</v>
      </c>
    </row>
    <row r="685" spans="1:5" x14ac:dyDescent="0.45">
      <c r="A685" t="s">
        <v>129</v>
      </c>
      <c r="B685" t="s">
        <v>481</v>
      </c>
      <c r="C685" s="14">
        <v>157000</v>
      </c>
      <c r="D685">
        <v>1922.48</v>
      </c>
      <c r="E685" s="9">
        <v>42752</v>
      </c>
    </row>
    <row r="686" spans="1:5" x14ac:dyDescent="0.45">
      <c r="A686" t="s">
        <v>129</v>
      </c>
      <c r="B686" t="s">
        <v>481</v>
      </c>
      <c r="C686">
        <v>155439</v>
      </c>
      <c r="D686">
        <v>346.88</v>
      </c>
      <c r="E686" s="9">
        <v>42727</v>
      </c>
    </row>
    <row r="687" spans="1:5" x14ac:dyDescent="0.45">
      <c r="A687" t="s">
        <v>129</v>
      </c>
      <c r="B687" t="s">
        <v>481</v>
      </c>
      <c r="C687">
        <v>140305</v>
      </c>
      <c r="D687">
        <v>155.63999999999999</v>
      </c>
      <c r="E687" s="9">
        <v>42695</v>
      </c>
    </row>
    <row r="688" spans="1:5" x14ac:dyDescent="0.45">
      <c r="A688" t="s">
        <v>129</v>
      </c>
      <c r="B688" t="s">
        <v>481</v>
      </c>
      <c r="C688">
        <v>131126</v>
      </c>
      <c r="D688">
        <v>250</v>
      </c>
      <c r="E688" s="9">
        <v>42676</v>
      </c>
    </row>
    <row r="689" spans="1:5" x14ac:dyDescent="0.45">
      <c r="A689" t="s">
        <v>129</v>
      </c>
      <c r="B689" t="s">
        <v>481</v>
      </c>
      <c r="C689">
        <v>136997</v>
      </c>
      <c r="D689">
        <v>125</v>
      </c>
      <c r="E689" s="9">
        <v>42666</v>
      </c>
    </row>
    <row r="690" spans="1:5" x14ac:dyDescent="0.45">
      <c r="A690" t="s">
        <v>129</v>
      </c>
      <c r="B690" t="s">
        <v>481</v>
      </c>
      <c r="C690">
        <v>134204</v>
      </c>
      <c r="D690">
        <v>80</v>
      </c>
      <c r="E690" s="9">
        <v>42644</v>
      </c>
    </row>
    <row r="691" spans="1:5" x14ac:dyDescent="0.45">
      <c r="A691" t="s">
        <v>129</v>
      </c>
      <c r="B691" t="s">
        <v>481</v>
      </c>
      <c r="C691">
        <v>137533</v>
      </c>
      <c r="D691">
        <v>100</v>
      </c>
      <c r="E691" s="9">
        <v>42509</v>
      </c>
    </row>
    <row r="692" spans="1:5" x14ac:dyDescent="0.45">
      <c r="A692" t="s">
        <v>129</v>
      </c>
      <c r="B692" t="s">
        <v>481</v>
      </c>
      <c r="C692">
        <v>135395</v>
      </c>
      <c r="D692">
        <v>200</v>
      </c>
      <c r="E692" s="9">
        <v>42479</v>
      </c>
    </row>
    <row r="693" spans="1:5" x14ac:dyDescent="0.45">
      <c r="A693" t="s">
        <v>129</v>
      </c>
      <c r="B693" t="s">
        <v>481</v>
      </c>
      <c r="C693">
        <v>111395</v>
      </c>
      <c r="D693">
        <v>700</v>
      </c>
      <c r="E693" s="9">
        <v>42436</v>
      </c>
    </row>
    <row r="694" spans="1:5" x14ac:dyDescent="0.45">
      <c r="A694" t="s">
        <v>129</v>
      </c>
      <c r="B694" t="s">
        <v>481</v>
      </c>
      <c r="C694">
        <v>130022</v>
      </c>
      <c r="D694">
        <v>300</v>
      </c>
      <c r="E694" s="9">
        <v>42418</v>
      </c>
    </row>
    <row r="695" spans="1:5" x14ac:dyDescent="0.45">
      <c r="A695" t="s">
        <v>129</v>
      </c>
      <c r="B695" t="s">
        <v>481</v>
      </c>
      <c r="C695">
        <v>128178</v>
      </c>
      <c r="D695">
        <v>100</v>
      </c>
      <c r="E695" s="9">
        <v>42396</v>
      </c>
    </row>
    <row r="696" spans="1:5" x14ac:dyDescent="0.45">
      <c r="A696" t="s">
        <v>129</v>
      </c>
      <c r="B696" t="s">
        <v>481</v>
      </c>
      <c r="C696">
        <v>126688</v>
      </c>
      <c r="D696">
        <v>280</v>
      </c>
      <c r="E696" s="9">
        <v>42376</v>
      </c>
    </row>
    <row r="697" spans="1:5" x14ac:dyDescent="0.45">
      <c r="A697" t="s">
        <v>129</v>
      </c>
      <c r="B697" t="s">
        <v>481</v>
      </c>
      <c r="C697" s="14">
        <v>120000</v>
      </c>
      <c r="D697">
        <v>40.96</v>
      </c>
      <c r="E697" s="9">
        <v>42277</v>
      </c>
    </row>
    <row r="698" spans="1:5" x14ac:dyDescent="0.45">
      <c r="A698" t="s">
        <v>129</v>
      </c>
      <c r="B698" t="s">
        <v>481</v>
      </c>
      <c r="C698">
        <v>116156</v>
      </c>
      <c r="D698">
        <v>0</v>
      </c>
      <c r="E698" s="9">
        <v>42263</v>
      </c>
    </row>
    <row r="699" spans="1:5" x14ac:dyDescent="0.45">
      <c r="A699" t="s">
        <v>129</v>
      </c>
      <c r="B699" t="s">
        <v>481</v>
      </c>
      <c r="C699">
        <v>116150</v>
      </c>
      <c r="D699">
        <v>142.08000000000001</v>
      </c>
      <c r="E699" s="9">
        <v>42261</v>
      </c>
    </row>
    <row r="700" spans="1:5" x14ac:dyDescent="0.45">
      <c r="A700" t="s">
        <v>129</v>
      </c>
      <c r="B700" t="s">
        <v>481</v>
      </c>
      <c r="C700">
        <v>115486</v>
      </c>
      <c r="D700">
        <v>1765.89</v>
      </c>
      <c r="E700" s="9">
        <v>42256</v>
      </c>
    </row>
    <row r="701" spans="1:5" x14ac:dyDescent="0.45">
      <c r="A701" t="s">
        <v>129</v>
      </c>
      <c r="B701" t="s">
        <v>481</v>
      </c>
      <c r="C701" s="14">
        <v>112000</v>
      </c>
      <c r="D701">
        <v>150.51</v>
      </c>
      <c r="E701" s="9">
        <v>42184</v>
      </c>
    </row>
    <row r="702" spans="1:5" x14ac:dyDescent="0.45">
      <c r="A702" t="s">
        <v>129</v>
      </c>
      <c r="B702" t="s">
        <v>481</v>
      </c>
      <c r="C702" s="14">
        <v>110000</v>
      </c>
      <c r="D702">
        <v>599.30999999999995</v>
      </c>
      <c r="E702" s="9">
        <v>42158</v>
      </c>
    </row>
    <row r="703" spans="1:5" x14ac:dyDescent="0.45">
      <c r="A703" t="s">
        <v>129</v>
      </c>
      <c r="B703" t="s">
        <v>481</v>
      </c>
      <c r="C703">
        <v>105950</v>
      </c>
      <c r="D703">
        <v>44.95</v>
      </c>
      <c r="E703" s="9">
        <v>42146</v>
      </c>
    </row>
    <row r="704" spans="1:5" x14ac:dyDescent="0.45">
      <c r="A704" t="s">
        <v>129</v>
      </c>
      <c r="B704" t="s">
        <v>481</v>
      </c>
      <c r="C704" s="14">
        <v>105000</v>
      </c>
      <c r="D704">
        <v>125</v>
      </c>
      <c r="E704" s="9">
        <v>42005</v>
      </c>
    </row>
    <row r="705" spans="1:5" x14ac:dyDescent="0.45">
      <c r="A705" t="s">
        <v>129</v>
      </c>
      <c r="B705" t="s">
        <v>481</v>
      </c>
      <c r="C705" s="14">
        <v>105000</v>
      </c>
      <c r="D705">
        <v>125</v>
      </c>
      <c r="E705" s="9">
        <v>42005</v>
      </c>
    </row>
    <row r="706" spans="1:5" x14ac:dyDescent="0.45">
      <c r="A706" t="s">
        <v>129</v>
      </c>
      <c r="B706" t="s">
        <v>481</v>
      </c>
      <c r="C706" s="14">
        <v>100000</v>
      </c>
      <c r="D706">
        <v>7298</v>
      </c>
      <c r="E706" s="9">
        <v>41984</v>
      </c>
    </row>
    <row r="707" spans="1:5" x14ac:dyDescent="0.45">
      <c r="A707" t="s">
        <v>129</v>
      </c>
      <c r="B707" t="s">
        <v>481</v>
      </c>
      <c r="C707">
        <v>96541</v>
      </c>
      <c r="D707">
        <v>325.58</v>
      </c>
      <c r="E707" s="9">
        <v>41954</v>
      </c>
    </row>
    <row r="708" spans="1:5" x14ac:dyDescent="0.45">
      <c r="A708" t="s">
        <v>129</v>
      </c>
      <c r="B708" t="s">
        <v>481</v>
      </c>
      <c r="C708">
        <v>94963</v>
      </c>
      <c r="D708">
        <v>80</v>
      </c>
      <c r="E708" s="9">
        <v>41935</v>
      </c>
    </row>
    <row r="709" spans="1:5" x14ac:dyDescent="0.45">
      <c r="A709" t="s">
        <v>129</v>
      </c>
      <c r="B709" t="s">
        <v>481</v>
      </c>
      <c r="C709" s="14">
        <v>92000</v>
      </c>
      <c r="D709">
        <v>200</v>
      </c>
      <c r="E709" s="9">
        <v>41904</v>
      </c>
    </row>
    <row r="710" spans="1:5" x14ac:dyDescent="0.45">
      <c r="A710" t="s">
        <v>129</v>
      </c>
      <c r="B710" t="s">
        <v>481</v>
      </c>
      <c r="C710" s="14">
        <v>90000</v>
      </c>
      <c r="D710">
        <v>1132.68</v>
      </c>
      <c r="E710" s="9">
        <v>41810</v>
      </c>
    </row>
    <row r="711" spans="1:5" x14ac:dyDescent="0.45">
      <c r="A711" t="s">
        <v>129</v>
      </c>
      <c r="B711" t="s">
        <v>481</v>
      </c>
      <c r="C711">
        <v>85095</v>
      </c>
      <c r="D711">
        <v>72.099999999999994</v>
      </c>
      <c r="E711" s="9">
        <v>41793</v>
      </c>
    </row>
    <row r="712" spans="1:5" x14ac:dyDescent="0.45">
      <c r="A712" t="s">
        <v>129</v>
      </c>
      <c r="B712" t="s">
        <v>481</v>
      </c>
      <c r="C712" s="14">
        <v>80000</v>
      </c>
      <c r="D712">
        <v>72.98</v>
      </c>
      <c r="E712" s="9">
        <v>41709</v>
      </c>
    </row>
    <row r="713" spans="1:5" x14ac:dyDescent="0.45">
      <c r="A713" t="s">
        <v>129</v>
      </c>
      <c r="B713" t="s">
        <v>481</v>
      </c>
      <c r="C713">
        <v>75128</v>
      </c>
      <c r="D713">
        <v>71.06</v>
      </c>
      <c r="E713" s="9">
        <v>41660</v>
      </c>
    </row>
    <row r="714" spans="1:5" x14ac:dyDescent="0.45">
      <c r="A714" t="s">
        <v>129</v>
      </c>
      <c r="B714" t="s">
        <v>481</v>
      </c>
      <c r="C714">
        <v>71977</v>
      </c>
      <c r="D714">
        <v>769.34</v>
      </c>
      <c r="E714" s="9">
        <v>41608</v>
      </c>
    </row>
    <row r="715" spans="1:5" x14ac:dyDescent="0.45">
      <c r="A715" t="s">
        <v>129</v>
      </c>
      <c r="B715" t="s">
        <v>481</v>
      </c>
      <c r="C715">
        <v>71771</v>
      </c>
      <c r="D715">
        <v>500.3</v>
      </c>
      <c r="E715" s="9">
        <v>41604</v>
      </c>
    </row>
    <row r="716" spans="1:5" x14ac:dyDescent="0.45">
      <c r="A716" t="s">
        <v>129</v>
      </c>
      <c r="B716" t="s">
        <v>481</v>
      </c>
      <c r="C716" s="14">
        <v>70000</v>
      </c>
      <c r="D716">
        <v>42.92</v>
      </c>
      <c r="E716" s="9">
        <v>41598</v>
      </c>
    </row>
    <row r="717" spans="1:5" x14ac:dyDescent="0.45">
      <c r="A717" t="s">
        <v>129</v>
      </c>
      <c r="B717" t="s">
        <v>481</v>
      </c>
      <c r="C717">
        <v>65396</v>
      </c>
      <c r="D717">
        <v>54.44</v>
      </c>
      <c r="E717" s="9">
        <v>41515</v>
      </c>
    </row>
    <row r="718" spans="1:5" x14ac:dyDescent="0.45">
      <c r="A718" t="s">
        <v>129</v>
      </c>
      <c r="B718" t="s">
        <v>481</v>
      </c>
      <c r="C718">
        <v>56731</v>
      </c>
      <c r="D718">
        <v>32.92</v>
      </c>
      <c r="E718" s="9">
        <v>41400</v>
      </c>
    </row>
    <row r="719" spans="1:5" x14ac:dyDescent="0.45">
      <c r="A719" t="s">
        <v>129</v>
      </c>
      <c r="B719" t="s">
        <v>481</v>
      </c>
      <c r="C719" s="14">
        <v>52000</v>
      </c>
      <c r="D719">
        <v>78.97</v>
      </c>
      <c r="E719" s="9">
        <v>41312</v>
      </c>
    </row>
    <row r="720" spans="1:5" x14ac:dyDescent="0.45">
      <c r="A720" t="s">
        <v>129</v>
      </c>
      <c r="B720" t="s">
        <v>481</v>
      </c>
      <c r="C720">
        <v>47164</v>
      </c>
      <c r="D720">
        <v>115.95</v>
      </c>
      <c r="E720" s="9">
        <v>41257</v>
      </c>
    </row>
    <row r="721" spans="1:5" x14ac:dyDescent="0.45">
      <c r="A721" t="s">
        <v>129</v>
      </c>
      <c r="B721" t="s">
        <v>481</v>
      </c>
      <c r="C721">
        <v>38639</v>
      </c>
      <c r="D721">
        <v>52.61</v>
      </c>
      <c r="E721" s="9">
        <v>41151</v>
      </c>
    </row>
    <row r="722" spans="1:5" x14ac:dyDescent="0.45">
      <c r="A722" t="s">
        <v>129</v>
      </c>
      <c r="B722" t="s">
        <v>481</v>
      </c>
      <c r="C722">
        <v>29649</v>
      </c>
      <c r="D722">
        <v>56.98</v>
      </c>
      <c r="E722" s="9">
        <v>41040</v>
      </c>
    </row>
    <row r="723" spans="1:5" x14ac:dyDescent="0.45">
      <c r="A723" t="s">
        <v>129</v>
      </c>
      <c r="B723" t="s">
        <v>481</v>
      </c>
      <c r="C723">
        <v>29649</v>
      </c>
      <c r="D723">
        <v>80</v>
      </c>
      <c r="E723" s="9">
        <v>41040</v>
      </c>
    </row>
    <row r="724" spans="1:5" x14ac:dyDescent="0.45">
      <c r="A724" t="s">
        <v>129</v>
      </c>
      <c r="B724" t="s">
        <v>481</v>
      </c>
      <c r="C724">
        <v>19600</v>
      </c>
      <c r="D724">
        <v>51.1</v>
      </c>
      <c r="E724" s="9">
        <v>40926</v>
      </c>
    </row>
    <row r="725" spans="1:5" x14ac:dyDescent="0.45">
      <c r="A725" t="s">
        <v>129</v>
      </c>
      <c r="B725" t="s">
        <v>481</v>
      </c>
      <c r="C725">
        <v>9899</v>
      </c>
      <c r="D725">
        <v>40.78</v>
      </c>
      <c r="E725" s="9">
        <v>40826</v>
      </c>
    </row>
    <row r="726" spans="1:5" x14ac:dyDescent="0.45">
      <c r="A726" t="s">
        <v>129</v>
      </c>
      <c r="B726" t="s">
        <v>481</v>
      </c>
      <c r="C726">
        <v>4</v>
      </c>
      <c r="D726">
        <v>0</v>
      </c>
      <c r="E726" s="9">
        <v>40647</v>
      </c>
    </row>
    <row r="727" spans="1:5" x14ac:dyDescent="0.45">
      <c r="A727" t="s">
        <v>130</v>
      </c>
      <c r="B727" t="s">
        <v>432</v>
      </c>
      <c r="C727">
        <v>273776</v>
      </c>
      <c r="D727">
        <v>495.09</v>
      </c>
      <c r="E727" s="9">
        <v>43782</v>
      </c>
    </row>
    <row r="728" spans="1:5" x14ac:dyDescent="0.45">
      <c r="A728" t="s">
        <v>130</v>
      </c>
      <c r="B728" t="s">
        <v>432</v>
      </c>
      <c r="C728">
        <v>272426</v>
      </c>
      <c r="D728">
        <v>198.39</v>
      </c>
      <c r="E728" s="9">
        <v>43776</v>
      </c>
    </row>
    <row r="729" spans="1:5" x14ac:dyDescent="0.45">
      <c r="A729" t="s">
        <v>130</v>
      </c>
      <c r="B729" t="s">
        <v>432</v>
      </c>
      <c r="C729">
        <v>266017</v>
      </c>
      <c r="D729">
        <v>103.96</v>
      </c>
      <c r="E729" s="9">
        <v>43696</v>
      </c>
    </row>
    <row r="730" spans="1:5" x14ac:dyDescent="0.45">
      <c r="A730" t="s">
        <v>130</v>
      </c>
      <c r="B730" t="s">
        <v>432</v>
      </c>
      <c r="C730">
        <v>256002</v>
      </c>
      <c r="D730">
        <v>156.94</v>
      </c>
      <c r="E730" s="9">
        <v>43503</v>
      </c>
    </row>
    <row r="731" spans="1:5" x14ac:dyDescent="0.45">
      <c r="A731" t="s">
        <v>130</v>
      </c>
      <c r="B731" t="s">
        <v>432</v>
      </c>
      <c r="C731">
        <v>254905</v>
      </c>
      <c r="D731">
        <v>630.64</v>
      </c>
      <c r="E731" s="9">
        <v>43490</v>
      </c>
    </row>
    <row r="732" spans="1:5" x14ac:dyDescent="0.45">
      <c r="A732" t="s">
        <v>130</v>
      </c>
      <c r="B732" t="s">
        <v>432</v>
      </c>
      <c r="C732">
        <v>249538</v>
      </c>
      <c r="D732">
        <v>330.12</v>
      </c>
      <c r="E732" s="9">
        <v>43431</v>
      </c>
    </row>
    <row r="733" spans="1:5" x14ac:dyDescent="0.45">
      <c r="A733" t="s">
        <v>130</v>
      </c>
      <c r="B733" t="s">
        <v>432</v>
      </c>
      <c r="C733">
        <v>242704</v>
      </c>
      <c r="D733">
        <v>570.44000000000005</v>
      </c>
      <c r="E733" s="9">
        <v>43330</v>
      </c>
    </row>
    <row r="734" spans="1:5" x14ac:dyDescent="0.45">
      <c r="A734" t="s">
        <v>130</v>
      </c>
      <c r="B734" t="s">
        <v>432</v>
      </c>
      <c r="C734">
        <v>237195</v>
      </c>
      <c r="D734">
        <v>101.84</v>
      </c>
      <c r="E734" s="9">
        <v>43273</v>
      </c>
    </row>
    <row r="735" spans="1:5" x14ac:dyDescent="0.45">
      <c r="A735" t="s">
        <v>130</v>
      </c>
      <c r="B735" t="s">
        <v>432</v>
      </c>
      <c r="C735">
        <v>231771</v>
      </c>
      <c r="D735">
        <v>125</v>
      </c>
      <c r="E735" s="9">
        <v>43222</v>
      </c>
    </row>
    <row r="736" spans="1:5" x14ac:dyDescent="0.45">
      <c r="A736" t="s">
        <v>130</v>
      </c>
      <c r="B736" t="s">
        <v>432</v>
      </c>
      <c r="C736">
        <v>227915</v>
      </c>
      <c r="D736">
        <v>0</v>
      </c>
      <c r="E736" s="9">
        <v>43174</v>
      </c>
    </row>
    <row r="737" spans="1:5" x14ac:dyDescent="0.45">
      <c r="A737" t="s">
        <v>130</v>
      </c>
      <c r="B737" t="s">
        <v>432</v>
      </c>
      <c r="C737">
        <v>227230</v>
      </c>
      <c r="D737">
        <v>125</v>
      </c>
      <c r="E737" s="9">
        <v>43166</v>
      </c>
    </row>
    <row r="738" spans="1:5" x14ac:dyDescent="0.45">
      <c r="A738" t="s">
        <v>130</v>
      </c>
      <c r="B738" t="s">
        <v>432</v>
      </c>
      <c r="C738">
        <v>227156</v>
      </c>
      <c r="D738">
        <v>154.82</v>
      </c>
      <c r="E738" s="9">
        <v>43165</v>
      </c>
    </row>
    <row r="739" spans="1:5" x14ac:dyDescent="0.45">
      <c r="A739" t="s">
        <v>130</v>
      </c>
      <c r="B739" t="s">
        <v>432</v>
      </c>
      <c r="C739">
        <v>226258</v>
      </c>
      <c r="D739">
        <v>0</v>
      </c>
      <c r="E739" s="9">
        <v>43158</v>
      </c>
    </row>
    <row r="740" spans="1:5" x14ac:dyDescent="0.45">
      <c r="A740" t="s">
        <v>130</v>
      </c>
      <c r="B740" t="s">
        <v>432</v>
      </c>
      <c r="C740">
        <v>223811</v>
      </c>
      <c r="D740">
        <v>181.31</v>
      </c>
      <c r="E740" s="9">
        <v>43133</v>
      </c>
    </row>
    <row r="741" spans="1:5" x14ac:dyDescent="0.45">
      <c r="A741" t="s">
        <v>130</v>
      </c>
      <c r="B741" t="s">
        <v>432</v>
      </c>
      <c r="C741">
        <v>223230</v>
      </c>
      <c r="D741">
        <v>345.65</v>
      </c>
      <c r="E741" s="9">
        <v>43127</v>
      </c>
    </row>
    <row r="742" spans="1:5" x14ac:dyDescent="0.45">
      <c r="A742" t="s">
        <v>130</v>
      </c>
      <c r="B742" t="s">
        <v>432</v>
      </c>
      <c r="C742">
        <v>220486</v>
      </c>
      <c r="D742">
        <v>86.56</v>
      </c>
      <c r="E742" s="9">
        <v>43098</v>
      </c>
    </row>
    <row r="743" spans="1:5" x14ac:dyDescent="0.45">
      <c r="A743" t="s">
        <v>130</v>
      </c>
      <c r="B743" t="s">
        <v>432</v>
      </c>
      <c r="C743">
        <v>217007</v>
      </c>
      <c r="D743">
        <v>86.56</v>
      </c>
      <c r="E743" s="9">
        <v>43069</v>
      </c>
    </row>
    <row r="744" spans="1:5" x14ac:dyDescent="0.45">
      <c r="A744" t="s">
        <v>130</v>
      </c>
      <c r="B744" t="s">
        <v>432</v>
      </c>
      <c r="C744">
        <v>214609</v>
      </c>
      <c r="D744">
        <v>1052.68</v>
      </c>
      <c r="E744" s="9">
        <v>43048</v>
      </c>
    </row>
    <row r="745" spans="1:5" x14ac:dyDescent="0.45">
      <c r="A745" t="s">
        <v>130</v>
      </c>
      <c r="B745" t="s">
        <v>432</v>
      </c>
      <c r="C745">
        <v>214350</v>
      </c>
      <c r="D745">
        <v>101.84</v>
      </c>
      <c r="E745" s="9">
        <v>43042</v>
      </c>
    </row>
    <row r="746" spans="1:5" x14ac:dyDescent="0.45">
      <c r="A746" t="s">
        <v>130</v>
      </c>
      <c r="B746" t="s">
        <v>432</v>
      </c>
      <c r="C746">
        <v>210076</v>
      </c>
      <c r="D746">
        <v>102.66</v>
      </c>
      <c r="E746" s="9">
        <v>43010</v>
      </c>
    </row>
    <row r="747" spans="1:5" x14ac:dyDescent="0.45">
      <c r="A747" t="s">
        <v>130</v>
      </c>
      <c r="B747" t="s">
        <v>432</v>
      </c>
      <c r="C747">
        <v>207062</v>
      </c>
      <c r="D747">
        <v>1844.92</v>
      </c>
      <c r="E747" s="9">
        <v>42984</v>
      </c>
    </row>
    <row r="748" spans="1:5" x14ac:dyDescent="0.45">
      <c r="A748" t="s">
        <v>130</v>
      </c>
      <c r="B748" t="s">
        <v>432</v>
      </c>
      <c r="C748">
        <v>206701</v>
      </c>
      <c r="D748">
        <v>158.31</v>
      </c>
      <c r="E748" s="9">
        <v>42977</v>
      </c>
    </row>
    <row r="749" spans="1:5" x14ac:dyDescent="0.45">
      <c r="A749" t="s">
        <v>130</v>
      </c>
      <c r="B749" t="s">
        <v>432</v>
      </c>
      <c r="C749">
        <v>203542</v>
      </c>
      <c r="D749">
        <v>326.13</v>
      </c>
      <c r="E749" s="9">
        <v>42955</v>
      </c>
    </row>
    <row r="750" spans="1:5" x14ac:dyDescent="0.45">
      <c r="A750" t="s">
        <v>130</v>
      </c>
      <c r="B750" t="s">
        <v>432</v>
      </c>
      <c r="C750">
        <v>196333</v>
      </c>
      <c r="D750">
        <v>283.43</v>
      </c>
      <c r="E750" s="9">
        <v>42908</v>
      </c>
    </row>
    <row r="751" spans="1:5" x14ac:dyDescent="0.45">
      <c r="A751" t="s">
        <v>130</v>
      </c>
      <c r="B751" t="s">
        <v>432</v>
      </c>
      <c r="C751">
        <v>185956</v>
      </c>
      <c r="D751">
        <v>87.26</v>
      </c>
      <c r="E751" s="9">
        <v>42815</v>
      </c>
    </row>
    <row r="752" spans="1:5" x14ac:dyDescent="0.45">
      <c r="A752" t="s">
        <v>130</v>
      </c>
      <c r="B752" t="s">
        <v>432</v>
      </c>
      <c r="C752">
        <v>178436</v>
      </c>
      <c r="D752">
        <v>125</v>
      </c>
      <c r="E752" s="9">
        <v>42732</v>
      </c>
    </row>
    <row r="753" spans="1:5" x14ac:dyDescent="0.45">
      <c r="A753" t="s">
        <v>130</v>
      </c>
      <c r="B753" t="s">
        <v>432</v>
      </c>
      <c r="C753">
        <v>170982</v>
      </c>
      <c r="D753">
        <v>125</v>
      </c>
      <c r="E753" s="9">
        <v>42676</v>
      </c>
    </row>
    <row r="754" spans="1:5" x14ac:dyDescent="0.45">
      <c r="A754" t="s">
        <v>130</v>
      </c>
      <c r="B754" t="s">
        <v>432</v>
      </c>
      <c r="C754">
        <v>165422</v>
      </c>
      <c r="D754">
        <v>0</v>
      </c>
      <c r="E754" s="9">
        <v>42626</v>
      </c>
    </row>
    <row r="755" spans="1:5" x14ac:dyDescent="0.45">
      <c r="A755" t="s">
        <v>130</v>
      </c>
      <c r="B755" t="s">
        <v>432</v>
      </c>
      <c r="C755">
        <v>165421</v>
      </c>
      <c r="D755">
        <v>0</v>
      </c>
      <c r="E755" s="9">
        <v>42615</v>
      </c>
    </row>
    <row r="756" spans="1:5" x14ac:dyDescent="0.45">
      <c r="A756" t="s">
        <v>130</v>
      </c>
      <c r="B756" t="s">
        <v>432</v>
      </c>
      <c r="C756">
        <v>160544</v>
      </c>
      <c r="D756">
        <v>80</v>
      </c>
      <c r="E756" s="9">
        <v>42580</v>
      </c>
    </row>
    <row r="757" spans="1:5" x14ac:dyDescent="0.45">
      <c r="A757" t="s">
        <v>130</v>
      </c>
      <c r="B757" t="s">
        <v>432</v>
      </c>
      <c r="C757">
        <v>154315</v>
      </c>
      <c r="D757">
        <v>200</v>
      </c>
      <c r="E757" s="9">
        <v>42527</v>
      </c>
    </row>
    <row r="758" spans="1:5" x14ac:dyDescent="0.45">
      <c r="A758" t="s">
        <v>130</v>
      </c>
      <c r="B758" t="s">
        <v>432</v>
      </c>
      <c r="C758">
        <v>154181</v>
      </c>
      <c r="D758">
        <v>80</v>
      </c>
      <c r="E758" s="9">
        <v>42526</v>
      </c>
    </row>
    <row r="759" spans="1:5" x14ac:dyDescent="0.45">
      <c r="A759" t="s">
        <v>130</v>
      </c>
      <c r="B759" t="s">
        <v>432</v>
      </c>
      <c r="C759">
        <v>0</v>
      </c>
      <c r="D759">
        <v>0</v>
      </c>
      <c r="E759" s="9">
        <v>42509</v>
      </c>
    </row>
    <row r="760" spans="1:5" x14ac:dyDescent="0.45">
      <c r="A760" t="s">
        <v>130</v>
      </c>
      <c r="B760" t="s">
        <v>432</v>
      </c>
      <c r="C760">
        <v>0</v>
      </c>
      <c r="D760">
        <v>0</v>
      </c>
      <c r="E760" s="9">
        <v>42488</v>
      </c>
    </row>
    <row r="761" spans="1:5" x14ac:dyDescent="0.45">
      <c r="A761" t="s">
        <v>130</v>
      </c>
      <c r="B761" t="s">
        <v>432</v>
      </c>
      <c r="C761">
        <v>147474</v>
      </c>
      <c r="D761">
        <v>80</v>
      </c>
      <c r="E761" s="9">
        <v>42452</v>
      </c>
    </row>
    <row r="762" spans="1:5" x14ac:dyDescent="0.45">
      <c r="A762" t="s">
        <v>130</v>
      </c>
      <c r="B762" t="s">
        <v>432</v>
      </c>
      <c r="C762">
        <v>140123</v>
      </c>
      <c r="D762">
        <v>80</v>
      </c>
      <c r="E762" s="9">
        <v>42393</v>
      </c>
    </row>
    <row r="763" spans="1:5" x14ac:dyDescent="0.45">
      <c r="A763" t="s">
        <v>130</v>
      </c>
      <c r="B763" t="s">
        <v>432</v>
      </c>
      <c r="C763">
        <v>134225</v>
      </c>
      <c r="D763">
        <v>80</v>
      </c>
      <c r="E763" s="9">
        <v>42349</v>
      </c>
    </row>
    <row r="764" spans="1:5" x14ac:dyDescent="0.45">
      <c r="A764" t="s">
        <v>130</v>
      </c>
      <c r="B764" t="s">
        <v>432</v>
      </c>
      <c r="C764">
        <v>130183</v>
      </c>
      <c r="D764">
        <v>500</v>
      </c>
      <c r="E764" s="9">
        <v>42322</v>
      </c>
    </row>
    <row r="765" spans="1:5" x14ac:dyDescent="0.45">
      <c r="A765" t="s">
        <v>130</v>
      </c>
      <c r="B765" t="s">
        <v>432</v>
      </c>
      <c r="C765">
        <v>124459</v>
      </c>
      <c r="D765">
        <v>80</v>
      </c>
      <c r="E765" s="9">
        <v>42131</v>
      </c>
    </row>
    <row r="766" spans="1:5" x14ac:dyDescent="0.45">
      <c r="A766" t="s">
        <v>130</v>
      </c>
      <c r="B766" t="s">
        <v>432</v>
      </c>
      <c r="C766">
        <v>119866</v>
      </c>
      <c r="D766">
        <v>222.02</v>
      </c>
      <c r="E766" s="9">
        <v>42087</v>
      </c>
    </row>
    <row r="767" spans="1:5" x14ac:dyDescent="0.45">
      <c r="A767" t="s">
        <v>130</v>
      </c>
      <c r="B767" t="s">
        <v>432</v>
      </c>
      <c r="C767">
        <v>114726</v>
      </c>
      <c r="D767">
        <v>84.54</v>
      </c>
      <c r="E767" s="9">
        <v>42036</v>
      </c>
    </row>
    <row r="768" spans="1:5" x14ac:dyDescent="0.45">
      <c r="A768" t="s">
        <v>130</v>
      </c>
      <c r="B768" t="s">
        <v>432</v>
      </c>
      <c r="C768">
        <v>0</v>
      </c>
      <c r="D768">
        <v>125</v>
      </c>
      <c r="E768" s="9">
        <v>42005</v>
      </c>
    </row>
    <row r="769" spans="1:5" x14ac:dyDescent="0.45">
      <c r="A769" t="s">
        <v>130</v>
      </c>
      <c r="B769" t="s">
        <v>432</v>
      </c>
      <c r="C769">
        <v>108948</v>
      </c>
      <c r="D769">
        <v>1610.91</v>
      </c>
      <c r="E769" s="9">
        <v>41982</v>
      </c>
    </row>
    <row r="770" spans="1:5" x14ac:dyDescent="0.45">
      <c r="A770" t="s">
        <v>130</v>
      </c>
      <c r="B770" t="s">
        <v>432</v>
      </c>
      <c r="C770">
        <v>108401</v>
      </c>
      <c r="D770">
        <v>72.98</v>
      </c>
      <c r="E770" s="9">
        <v>41976</v>
      </c>
    </row>
    <row r="771" spans="1:5" x14ac:dyDescent="0.45">
      <c r="A771" t="s">
        <v>130</v>
      </c>
      <c r="B771" t="s">
        <v>432</v>
      </c>
      <c r="C771">
        <v>99358</v>
      </c>
      <c r="D771">
        <v>163.05000000000001</v>
      </c>
      <c r="E771" s="9">
        <v>41881</v>
      </c>
    </row>
    <row r="772" spans="1:5" x14ac:dyDescent="0.45">
      <c r="A772" t="s">
        <v>130</v>
      </c>
      <c r="B772" t="s">
        <v>432</v>
      </c>
      <c r="C772">
        <v>96733</v>
      </c>
      <c r="D772">
        <v>85.23</v>
      </c>
      <c r="E772" s="9">
        <v>41849</v>
      </c>
    </row>
    <row r="773" spans="1:5" x14ac:dyDescent="0.45">
      <c r="A773" t="s">
        <v>130</v>
      </c>
      <c r="B773" t="s">
        <v>432</v>
      </c>
      <c r="C773">
        <v>95162</v>
      </c>
      <c r="D773">
        <v>1247.75</v>
      </c>
      <c r="E773" s="9">
        <v>41817</v>
      </c>
    </row>
    <row r="774" spans="1:5" x14ac:dyDescent="0.45">
      <c r="A774" t="s">
        <v>130</v>
      </c>
      <c r="B774" t="s">
        <v>432</v>
      </c>
      <c r="C774">
        <v>89849</v>
      </c>
      <c r="D774">
        <v>425.5</v>
      </c>
      <c r="E774" s="9">
        <v>41752</v>
      </c>
    </row>
    <row r="775" spans="1:5" x14ac:dyDescent="0.45">
      <c r="A775" t="s">
        <v>130</v>
      </c>
      <c r="B775" t="s">
        <v>432</v>
      </c>
      <c r="C775">
        <v>83109</v>
      </c>
      <c r="D775">
        <v>32.92</v>
      </c>
      <c r="E775" s="9">
        <v>41660</v>
      </c>
    </row>
    <row r="776" spans="1:5" x14ac:dyDescent="0.45">
      <c r="A776" t="s">
        <v>130</v>
      </c>
      <c r="B776" t="s">
        <v>432</v>
      </c>
      <c r="C776">
        <v>77906</v>
      </c>
      <c r="D776">
        <v>758.85</v>
      </c>
      <c r="E776" s="9">
        <v>41599</v>
      </c>
    </row>
    <row r="777" spans="1:5" x14ac:dyDescent="0.45">
      <c r="A777" t="s">
        <v>130</v>
      </c>
      <c r="B777" t="s">
        <v>432</v>
      </c>
      <c r="C777">
        <v>69631</v>
      </c>
      <c r="D777">
        <v>413.83</v>
      </c>
      <c r="E777" s="9">
        <v>41494</v>
      </c>
    </row>
    <row r="778" spans="1:5" x14ac:dyDescent="0.45">
      <c r="A778" t="s">
        <v>130</v>
      </c>
      <c r="B778" t="s">
        <v>432</v>
      </c>
      <c r="C778">
        <v>60154</v>
      </c>
      <c r="D778">
        <v>935.68</v>
      </c>
      <c r="E778" s="9">
        <v>41396</v>
      </c>
    </row>
    <row r="779" spans="1:5" x14ac:dyDescent="0.45">
      <c r="A779" t="s">
        <v>130</v>
      </c>
      <c r="B779" t="s">
        <v>432</v>
      </c>
      <c r="C779">
        <v>56355</v>
      </c>
      <c r="D779">
        <v>32.21</v>
      </c>
      <c r="E779" s="9">
        <v>41351</v>
      </c>
    </row>
    <row r="780" spans="1:5" x14ac:dyDescent="0.45">
      <c r="A780" t="s">
        <v>130</v>
      </c>
      <c r="B780" t="s">
        <v>432</v>
      </c>
      <c r="C780">
        <v>48584</v>
      </c>
      <c r="D780">
        <v>38.36</v>
      </c>
      <c r="E780" s="9">
        <v>41276</v>
      </c>
    </row>
    <row r="781" spans="1:5" x14ac:dyDescent="0.45">
      <c r="A781" t="s">
        <v>130</v>
      </c>
      <c r="B781" t="s">
        <v>432</v>
      </c>
      <c r="C781">
        <v>44847</v>
      </c>
      <c r="D781">
        <v>72.98</v>
      </c>
      <c r="E781" s="9">
        <v>41233</v>
      </c>
    </row>
    <row r="782" spans="1:5" x14ac:dyDescent="0.45">
      <c r="A782" t="s">
        <v>130</v>
      </c>
      <c r="B782" t="s">
        <v>432</v>
      </c>
      <c r="C782">
        <v>41576</v>
      </c>
      <c r="D782">
        <v>80</v>
      </c>
      <c r="E782" s="9">
        <v>41208</v>
      </c>
    </row>
    <row r="783" spans="1:5" x14ac:dyDescent="0.45">
      <c r="A783" t="s">
        <v>130</v>
      </c>
      <c r="B783" t="s">
        <v>432</v>
      </c>
      <c r="C783">
        <v>36498</v>
      </c>
      <c r="D783">
        <v>32.92</v>
      </c>
      <c r="E783" s="9">
        <v>41163</v>
      </c>
    </row>
    <row r="784" spans="1:5" x14ac:dyDescent="0.45">
      <c r="A784" t="s">
        <v>130</v>
      </c>
      <c r="B784" t="s">
        <v>432</v>
      </c>
      <c r="C784">
        <v>33011</v>
      </c>
      <c r="D784">
        <v>66</v>
      </c>
      <c r="E784" s="9">
        <v>41131</v>
      </c>
    </row>
    <row r="785" spans="1:5" x14ac:dyDescent="0.45">
      <c r="A785" t="s">
        <v>130</v>
      </c>
      <c r="B785" t="s">
        <v>432</v>
      </c>
      <c r="C785">
        <v>25947</v>
      </c>
      <c r="D785">
        <v>32.92</v>
      </c>
      <c r="E785" s="9">
        <v>41072</v>
      </c>
    </row>
    <row r="786" spans="1:5" x14ac:dyDescent="0.45">
      <c r="A786" t="s">
        <v>130</v>
      </c>
      <c r="B786" t="s">
        <v>432</v>
      </c>
      <c r="C786">
        <v>21198</v>
      </c>
      <c r="D786">
        <v>80</v>
      </c>
      <c r="E786" s="9">
        <v>41031</v>
      </c>
    </row>
    <row r="787" spans="1:5" x14ac:dyDescent="0.45">
      <c r="A787" t="s">
        <v>130</v>
      </c>
      <c r="B787" t="s">
        <v>432</v>
      </c>
      <c r="C787">
        <v>16892</v>
      </c>
      <c r="D787">
        <v>822.02</v>
      </c>
      <c r="E787" s="9">
        <v>40989</v>
      </c>
    </row>
    <row r="788" spans="1:5" x14ac:dyDescent="0.45">
      <c r="A788" t="s">
        <v>130</v>
      </c>
      <c r="B788" t="s">
        <v>432</v>
      </c>
      <c r="C788">
        <v>15683</v>
      </c>
      <c r="D788">
        <v>593.58000000000004</v>
      </c>
      <c r="E788" s="9">
        <v>40975</v>
      </c>
    </row>
    <row r="789" spans="1:5" x14ac:dyDescent="0.45">
      <c r="A789" t="s">
        <v>130</v>
      </c>
      <c r="B789" t="s">
        <v>432</v>
      </c>
      <c r="C789">
        <v>12097</v>
      </c>
      <c r="D789">
        <v>32.92</v>
      </c>
      <c r="E789" s="9">
        <v>40938</v>
      </c>
    </row>
    <row r="790" spans="1:5" x14ac:dyDescent="0.45">
      <c r="A790" t="s">
        <v>130</v>
      </c>
      <c r="B790" t="s">
        <v>432</v>
      </c>
      <c r="C790">
        <v>7974</v>
      </c>
      <c r="D790">
        <v>80</v>
      </c>
      <c r="E790" s="9">
        <v>40907</v>
      </c>
    </row>
    <row r="791" spans="1:5" x14ac:dyDescent="0.45">
      <c r="A791" t="s">
        <v>130</v>
      </c>
      <c r="B791" t="s">
        <v>432</v>
      </c>
      <c r="C791">
        <v>3642</v>
      </c>
      <c r="D791">
        <v>32.92</v>
      </c>
      <c r="E791" s="9">
        <v>40870</v>
      </c>
    </row>
    <row r="792" spans="1:5" x14ac:dyDescent="0.45">
      <c r="A792" t="s">
        <v>130</v>
      </c>
      <c r="B792" t="s">
        <v>432</v>
      </c>
      <c r="C792">
        <v>227</v>
      </c>
      <c r="D792">
        <v>0</v>
      </c>
      <c r="E792" s="9">
        <v>40826</v>
      </c>
    </row>
    <row r="793" spans="1:5" x14ac:dyDescent="0.45">
      <c r="A793" t="s">
        <v>130</v>
      </c>
      <c r="B793" t="s">
        <v>432</v>
      </c>
      <c r="C793">
        <v>0</v>
      </c>
      <c r="D793">
        <v>0</v>
      </c>
      <c r="E793" s="9">
        <v>40751</v>
      </c>
    </row>
    <row r="794" spans="1:5" x14ac:dyDescent="0.45">
      <c r="A794" t="s">
        <v>131</v>
      </c>
      <c r="B794" t="s">
        <v>440</v>
      </c>
      <c r="C794">
        <v>260137</v>
      </c>
      <c r="D794">
        <v>125</v>
      </c>
      <c r="E794" s="9">
        <v>44140</v>
      </c>
    </row>
    <row r="795" spans="1:5" x14ac:dyDescent="0.45">
      <c r="A795" t="s">
        <v>131</v>
      </c>
      <c r="B795" t="s">
        <v>440</v>
      </c>
      <c r="C795">
        <v>241863</v>
      </c>
      <c r="D795">
        <v>125</v>
      </c>
      <c r="E795" s="9">
        <v>43901</v>
      </c>
    </row>
    <row r="796" spans="1:5" x14ac:dyDescent="0.45">
      <c r="A796" t="s">
        <v>131</v>
      </c>
      <c r="B796" t="s">
        <v>440</v>
      </c>
      <c r="C796">
        <v>241610</v>
      </c>
      <c r="D796">
        <v>49.98</v>
      </c>
      <c r="E796" s="9">
        <v>43900</v>
      </c>
    </row>
    <row r="797" spans="1:5" x14ac:dyDescent="0.45">
      <c r="A797" t="s">
        <v>131</v>
      </c>
      <c r="B797" t="s">
        <v>440</v>
      </c>
      <c r="C797">
        <v>233631</v>
      </c>
      <c r="D797">
        <v>98.71</v>
      </c>
      <c r="E797" s="9">
        <v>43815</v>
      </c>
    </row>
    <row r="798" spans="1:5" x14ac:dyDescent="0.45">
      <c r="A798" t="s">
        <v>131</v>
      </c>
      <c r="B798" t="s">
        <v>440</v>
      </c>
      <c r="C798">
        <v>226594</v>
      </c>
      <c r="D798">
        <v>88.36</v>
      </c>
      <c r="E798" s="9">
        <v>43749</v>
      </c>
    </row>
    <row r="799" spans="1:5" x14ac:dyDescent="0.45">
      <c r="A799" t="s">
        <v>131</v>
      </c>
      <c r="B799" t="s">
        <v>440</v>
      </c>
      <c r="C799">
        <v>219252</v>
      </c>
      <c r="D799">
        <v>110.88</v>
      </c>
      <c r="E799" s="9">
        <v>43669</v>
      </c>
    </row>
    <row r="800" spans="1:5" x14ac:dyDescent="0.45">
      <c r="A800" t="s">
        <v>131</v>
      </c>
      <c r="B800" t="s">
        <v>440</v>
      </c>
      <c r="C800">
        <v>211274</v>
      </c>
      <c r="D800">
        <v>88.36</v>
      </c>
      <c r="E800" s="9">
        <v>43448</v>
      </c>
    </row>
    <row r="801" spans="1:5" x14ac:dyDescent="0.45">
      <c r="A801" t="s">
        <v>131</v>
      </c>
      <c r="B801" t="s">
        <v>440</v>
      </c>
      <c r="C801">
        <v>206970</v>
      </c>
      <c r="D801">
        <v>88.36</v>
      </c>
      <c r="E801" s="9">
        <v>43392</v>
      </c>
    </row>
    <row r="802" spans="1:5" x14ac:dyDescent="0.45">
      <c r="A802" t="s">
        <v>131</v>
      </c>
      <c r="B802" t="s">
        <v>440</v>
      </c>
      <c r="C802">
        <v>206931</v>
      </c>
      <c r="D802">
        <v>1775.87</v>
      </c>
      <c r="E802" s="9">
        <v>43385</v>
      </c>
    </row>
    <row r="803" spans="1:5" x14ac:dyDescent="0.45">
      <c r="A803" t="s">
        <v>131</v>
      </c>
      <c r="B803" t="s">
        <v>440</v>
      </c>
      <c r="C803">
        <v>201340</v>
      </c>
      <c r="D803">
        <v>96.95</v>
      </c>
      <c r="E803" s="9">
        <v>43328</v>
      </c>
    </row>
    <row r="804" spans="1:5" x14ac:dyDescent="0.45">
      <c r="A804" t="s">
        <v>131</v>
      </c>
      <c r="B804" t="s">
        <v>440</v>
      </c>
      <c r="C804">
        <v>201068</v>
      </c>
      <c r="D804">
        <v>311.77999999999997</v>
      </c>
      <c r="E804" s="9">
        <v>43326</v>
      </c>
    </row>
    <row r="805" spans="1:5" x14ac:dyDescent="0.45">
      <c r="A805" t="s">
        <v>131</v>
      </c>
      <c r="B805" t="s">
        <v>440</v>
      </c>
      <c r="C805">
        <v>196432</v>
      </c>
      <c r="D805">
        <v>3720.17</v>
      </c>
      <c r="E805" s="9">
        <v>43243</v>
      </c>
    </row>
    <row r="806" spans="1:5" x14ac:dyDescent="0.45">
      <c r="A806" t="s">
        <v>131</v>
      </c>
      <c r="B806" t="s">
        <v>440</v>
      </c>
      <c r="C806">
        <v>191825</v>
      </c>
      <c r="D806">
        <v>0</v>
      </c>
      <c r="E806" s="9">
        <v>43174</v>
      </c>
    </row>
    <row r="807" spans="1:5" x14ac:dyDescent="0.45">
      <c r="A807" t="s">
        <v>131</v>
      </c>
      <c r="B807" t="s">
        <v>440</v>
      </c>
      <c r="C807">
        <v>189807</v>
      </c>
      <c r="D807">
        <v>80</v>
      </c>
      <c r="E807" s="9">
        <v>43150</v>
      </c>
    </row>
    <row r="808" spans="1:5" x14ac:dyDescent="0.45">
      <c r="A808" t="s">
        <v>131</v>
      </c>
      <c r="B808" t="s">
        <v>440</v>
      </c>
      <c r="C808">
        <v>183644</v>
      </c>
      <c r="D808">
        <v>4595.43</v>
      </c>
      <c r="E808" s="9">
        <v>43015</v>
      </c>
    </row>
    <row r="809" spans="1:5" x14ac:dyDescent="0.45">
      <c r="A809" t="s">
        <v>131</v>
      </c>
      <c r="B809" t="s">
        <v>440</v>
      </c>
      <c r="C809">
        <v>181980</v>
      </c>
      <c r="D809">
        <v>2602.67</v>
      </c>
      <c r="E809" s="9">
        <v>42924</v>
      </c>
    </row>
    <row r="810" spans="1:5" x14ac:dyDescent="0.45">
      <c r="A810" t="s">
        <v>131</v>
      </c>
      <c r="B810" t="s">
        <v>440</v>
      </c>
      <c r="C810">
        <v>181891</v>
      </c>
      <c r="D810">
        <v>2255</v>
      </c>
      <c r="E810" s="9">
        <v>42902</v>
      </c>
    </row>
    <row r="811" spans="1:5" x14ac:dyDescent="0.45">
      <c r="A811" t="s">
        <v>131</v>
      </c>
      <c r="B811" t="s">
        <v>440</v>
      </c>
      <c r="C811">
        <v>175562</v>
      </c>
      <c r="D811">
        <v>102.66</v>
      </c>
      <c r="E811" s="9">
        <v>42822</v>
      </c>
    </row>
    <row r="812" spans="1:5" x14ac:dyDescent="0.45">
      <c r="A812" t="s">
        <v>131</v>
      </c>
      <c r="B812" t="s">
        <v>440</v>
      </c>
      <c r="C812">
        <v>175132</v>
      </c>
      <c r="D812">
        <v>461.48</v>
      </c>
      <c r="E812" s="9">
        <v>42819</v>
      </c>
    </row>
    <row r="813" spans="1:5" x14ac:dyDescent="0.45">
      <c r="A813" t="s">
        <v>131</v>
      </c>
      <c r="B813" t="s">
        <v>440</v>
      </c>
      <c r="C813">
        <v>168247</v>
      </c>
      <c r="D813">
        <v>351.45</v>
      </c>
      <c r="E813" s="9">
        <v>42757</v>
      </c>
    </row>
    <row r="814" spans="1:5" x14ac:dyDescent="0.45">
      <c r="A814" t="s">
        <v>131</v>
      </c>
      <c r="B814" t="s">
        <v>440</v>
      </c>
      <c r="C814">
        <v>158550</v>
      </c>
      <c r="D814">
        <v>150</v>
      </c>
      <c r="E814" s="9">
        <v>42683</v>
      </c>
    </row>
    <row r="815" spans="1:5" x14ac:dyDescent="0.45">
      <c r="A815" t="s">
        <v>131</v>
      </c>
      <c r="B815" t="s">
        <v>440</v>
      </c>
      <c r="C815">
        <v>150742</v>
      </c>
      <c r="D815">
        <v>0</v>
      </c>
      <c r="E815" s="9">
        <v>42537</v>
      </c>
    </row>
    <row r="816" spans="1:5" x14ac:dyDescent="0.45">
      <c r="A816" t="s">
        <v>131</v>
      </c>
      <c r="B816" t="s">
        <v>440</v>
      </c>
      <c r="C816">
        <v>148887</v>
      </c>
      <c r="D816">
        <v>125</v>
      </c>
      <c r="E816" s="9">
        <v>42509</v>
      </c>
    </row>
    <row r="817" spans="1:5" x14ac:dyDescent="0.45">
      <c r="A817" t="s">
        <v>131</v>
      </c>
      <c r="B817" t="s">
        <v>440</v>
      </c>
      <c r="C817">
        <v>140122</v>
      </c>
      <c r="D817">
        <v>80</v>
      </c>
      <c r="E817" s="9">
        <v>42412</v>
      </c>
    </row>
    <row r="818" spans="1:5" x14ac:dyDescent="0.45">
      <c r="A818" t="s">
        <v>131</v>
      </c>
      <c r="B818" t="s">
        <v>440</v>
      </c>
      <c r="C818">
        <v>132516</v>
      </c>
      <c r="D818">
        <v>100</v>
      </c>
      <c r="E818" s="9">
        <v>42338</v>
      </c>
    </row>
    <row r="819" spans="1:5" x14ac:dyDescent="0.45">
      <c r="A819" t="s">
        <v>131</v>
      </c>
      <c r="B819" t="s">
        <v>440</v>
      </c>
      <c r="C819">
        <v>131805</v>
      </c>
      <c r="D819">
        <v>500</v>
      </c>
      <c r="E819" s="9">
        <v>42332</v>
      </c>
    </row>
    <row r="820" spans="1:5" x14ac:dyDescent="0.45">
      <c r="A820" t="s">
        <v>131</v>
      </c>
      <c r="B820" t="s">
        <v>440</v>
      </c>
      <c r="C820">
        <v>125924</v>
      </c>
      <c r="D820">
        <v>80</v>
      </c>
      <c r="E820" s="9">
        <v>42212</v>
      </c>
    </row>
    <row r="821" spans="1:5" x14ac:dyDescent="0.45">
      <c r="A821" t="s">
        <v>131</v>
      </c>
      <c r="B821" t="s">
        <v>440</v>
      </c>
      <c r="C821">
        <v>113482</v>
      </c>
      <c r="D821">
        <v>124.41</v>
      </c>
      <c r="E821" s="9">
        <v>42076</v>
      </c>
    </row>
    <row r="822" spans="1:5" x14ac:dyDescent="0.45">
      <c r="A822" t="s">
        <v>131</v>
      </c>
      <c r="B822" t="s">
        <v>440</v>
      </c>
      <c r="C822">
        <v>0</v>
      </c>
      <c r="D822">
        <v>125</v>
      </c>
      <c r="E822" s="9">
        <v>42005</v>
      </c>
    </row>
    <row r="823" spans="1:5" x14ac:dyDescent="0.45">
      <c r="A823" t="s">
        <v>131</v>
      </c>
      <c r="B823" t="s">
        <v>440</v>
      </c>
      <c r="C823">
        <v>105802</v>
      </c>
      <c r="D823">
        <v>162</v>
      </c>
      <c r="E823" s="9">
        <v>41981</v>
      </c>
    </row>
    <row r="824" spans="1:5" x14ac:dyDescent="0.45">
      <c r="A824" t="s">
        <v>131</v>
      </c>
      <c r="B824" t="s">
        <v>440</v>
      </c>
      <c r="C824">
        <v>96004</v>
      </c>
      <c r="D824">
        <v>47.54</v>
      </c>
      <c r="E824" s="9">
        <v>41876</v>
      </c>
    </row>
    <row r="825" spans="1:5" x14ac:dyDescent="0.45">
      <c r="A825" t="s">
        <v>131</v>
      </c>
      <c r="B825" t="s">
        <v>440</v>
      </c>
      <c r="C825">
        <v>88069</v>
      </c>
      <c r="D825">
        <v>821.93</v>
      </c>
      <c r="E825" s="9">
        <v>41709</v>
      </c>
    </row>
    <row r="826" spans="1:5" x14ac:dyDescent="0.45">
      <c r="A826" t="s">
        <v>131</v>
      </c>
      <c r="B826" t="s">
        <v>440</v>
      </c>
      <c r="C826">
        <v>82143</v>
      </c>
      <c r="D826">
        <v>919.07</v>
      </c>
      <c r="E826" s="9">
        <v>41628</v>
      </c>
    </row>
    <row r="827" spans="1:5" x14ac:dyDescent="0.45">
      <c r="A827" t="s">
        <v>131</v>
      </c>
      <c r="B827" t="s">
        <v>440</v>
      </c>
      <c r="C827">
        <v>60682</v>
      </c>
      <c r="D827">
        <v>120.82</v>
      </c>
      <c r="E827" s="9">
        <v>41359</v>
      </c>
    </row>
    <row r="828" spans="1:5" x14ac:dyDescent="0.45">
      <c r="A828" t="s">
        <v>131</v>
      </c>
      <c r="B828" t="s">
        <v>440</v>
      </c>
      <c r="C828">
        <v>48578</v>
      </c>
      <c r="D828">
        <v>32.92</v>
      </c>
      <c r="E828" s="9">
        <v>41218</v>
      </c>
    </row>
    <row r="829" spans="1:5" x14ac:dyDescent="0.45">
      <c r="A829" t="s">
        <v>131</v>
      </c>
      <c r="B829" t="s">
        <v>440</v>
      </c>
      <c r="C829">
        <v>39061</v>
      </c>
      <c r="D829">
        <v>32.92</v>
      </c>
      <c r="E829" s="9">
        <v>41115</v>
      </c>
    </row>
    <row r="830" spans="1:5" x14ac:dyDescent="0.45">
      <c r="A830" t="s">
        <v>131</v>
      </c>
      <c r="B830" t="s">
        <v>440</v>
      </c>
      <c r="C830">
        <v>22123</v>
      </c>
      <c r="D830">
        <v>37.69</v>
      </c>
      <c r="E830" s="9">
        <v>40854</v>
      </c>
    </row>
    <row r="831" spans="1:5" x14ac:dyDescent="0.45">
      <c r="A831" t="s">
        <v>131</v>
      </c>
      <c r="B831" t="s">
        <v>440</v>
      </c>
      <c r="C831">
        <v>15473</v>
      </c>
      <c r="D831">
        <v>37.69</v>
      </c>
      <c r="E831" s="9">
        <v>40778</v>
      </c>
    </row>
    <row r="832" spans="1:5" x14ac:dyDescent="0.45">
      <c r="A832" t="s">
        <v>131</v>
      </c>
      <c r="B832" t="s">
        <v>440</v>
      </c>
      <c r="C832">
        <v>10584</v>
      </c>
      <c r="D832">
        <v>32.92</v>
      </c>
      <c r="E832" s="9">
        <v>40716</v>
      </c>
    </row>
    <row r="833" spans="1:5" x14ac:dyDescent="0.45">
      <c r="A833" t="s">
        <v>131</v>
      </c>
      <c r="B833" t="s">
        <v>440</v>
      </c>
      <c r="C833">
        <v>7112</v>
      </c>
      <c r="D833">
        <v>26.77</v>
      </c>
      <c r="E833" s="9">
        <v>40654</v>
      </c>
    </row>
    <row r="834" spans="1:5" x14ac:dyDescent="0.45">
      <c r="A834" t="s">
        <v>132</v>
      </c>
      <c r="B834" t="s">
        <v>448</v>
      </c>
      <c r="C834">
        <v>222870</v>
      </c>
      <c r="D834">
        <v>156.81</v>
      </c>
      <c r="E834" s="9">
        <v>44131</v>
      </c>
    </row>
    <row r="835" spans="1:5" x14ac:dyDescent="0.45">
      <c r="A835" t="s">
        <v>132</v>
      </c>
      <c r="B835" t="s">
        <v>448</v>
      </c>
      <c r="C835">
        <v>208395</v>
      </c>
      <c r="D835">
        <v>2732.93</v>
      </c>
      <c r="E835" s="9">
        <v>43896</v>
      </c>
    </row>
    <row r="836" spans="1:5" x14ac:dyDescent="0.45">
      <c r="A836" t="s">
        <v>132</v>
      </c>
      <c r="B836" t="s">
        <v>448</v>
      </c>
      <c r="C836">
        <v>206278</v>
      </c>
      <c r="D836">
        <v>1131.03</v>
      </c>
      <c r="E836" s="9">
        <v>43859</v>
      </c>
    </row>
    <row r="837" spans="1:5" x14ac:dyDescent="0.45">
      <c r="A837" t="s">
        <v>132</v>
      </c>
      <c r="B837" t="s">
        <v>448</v>
      </c>
      <c r="C837">
        <v>0</v>
      </c>
      <c r="D837">
        <v>229.99</v>
      </c>
      <c r="E837" s="9">
        <v>43846</v>
      </c>
    </row>
    <row r="838" spans="1:5" x14ac:dyDescent="0.45">
      <c r="A838" t="s">
        <v>132</v>
      </c>
      <c r="B838" t="s">
        <v>448</v>
      </c>
      <c r="C838">
        <v>204691</v>
      </c>
      <c r="D838">
        <v>392.27</v>
      </c>
      <c r="E838" s="9">
        <v>43833</v>
      </c>
    </row>
    <row r="839" spans="1:5" x14ac:dyDescent="0.45">
      <c r="A839" t="s">
        <v>132</v>
      </c>
      <c r="B839" t="s">
        <v>448</v>
      </c>
      <c r="C839">
        <v>202866</v>
      </c>
      <c r="D839">
        <v>62.81</v>
      </c>
      <c r="E839" s="9">
        <v>43802</v>
      </c>
    </row>
    <row r="840" spans="1:5" x14ac:dyDescent="0.45">
      <c r="A840" t="s">
        <v>132</v>
      </c>
      <c r="B840" t="s">
        <v>448</v>
      </c>
      <c r="C840">
        <v>202866</v>
      </c>
      <c r="D840">
        <v>1254.3900000000001</v>
      </c>
      <c r="E840" s="9">
        <v>43802</v>
      </c>
    </row>
    <row r="841" spans="1:5" x14ac:dyDescent="0.45">
      <c r="A841" t="s">
        <v>132</v>
      </c>
      <c r="B841" t="s">
        <v>448</v>
      </c>
      <c r="C841">
        <v>200669</v>
      </c>
      <c r="D841">
        <v>155.91</v>
      </c>
      <c r="E841" s="9">
        <v>43767</v>
      </c>
    </row>
    <row r="842" spans="1:5" x14ac:dyDescent="0.45">
      <c r="A842" t="s">
        <v>132</v>
      </c>
      <c r="B842" t="s">
        <v>448</v>
      </c>
      <c r="C842">
        <v>196200</v>
      </c>
      <c r="D842">
        <v>862.52</v>
      </c>
      <c r="E842" s="9">
        <v>43691</v>
      </c>
    </row>
    <row r="843" spans="1:5" x14ac:dyDescent="0.45">
      <c r="A843" t="s">
        <v>132</v>
      </c>
      <c r="B843" t="s">
        <v>448</v>
      </c>
      <c r="C843">
        <v>189377</v>
      </c>
      <c r="D843">
        <v>88.36</v>
      </c>
      <c r="E843" s="9">
        <v>43521</v>
      </c>
    </row>
    <row r="844" spans="1:5" x14ac:dyDescent="0.45">
      <c r="A844" t="s">
        <v>132</v>
      </c>
      <c r="B844" t="s">
        <v>448</v>
      </c>
      <c r="C844">
        <v>182982</v>
      </c>
      <c r="D844">
        <v>2794.26</v>
      </c>
      <c r="E844" s="9">
        <v>43362</v>
      </c>
    </row>
    <row r="845" spans="1:5" x14ac:dyDescent="0.45">
      <c r="A845" t="s">
        <v>132</v>
      </c>
      <c r="B845" t="s">
        <v>448</v>
      </c>
      <c r="C845">
        <v>177604</v>
      </c>
      <c r="D845">
        <v>154.1</v>
      </c>
      <c r="E845" s="9">
        <v>43290</v>
      </c>
    </row>
    <row r="846" spans="1:5" x14ac:dyDescent="0.45">
      <c r="A846" t="s">
        <v>132</v>
      </c>
      <c r="B846" t="s">
        <v>448</v>
      </c>
      <c r="C846">
        <v>168138</v>
      </c>
      <c r="D846">
        <v>0</v>
      </c>
      <c r="E846" s="9">
        <v>43174</v>
      </c>
    </row>
    <row r="847" spans="1:5" x14ac:dyDescent="0.45">
      <c r="A847" t="s">
        <v>132</v>
      </c>
      <c r="B847" t="s">
        <v>448</v>
      </c>
      <c r="C847">
        <v>166618</v>
      </c>
      <c r="D847">
        <v>101.84</v>
      </c>
      <c r="E847" s="9">
        <v>43157</v>
      </c>
    </row>
    <row r="848" spans="1:5" x14ac:dyDescent="0.45">
      <c r="A848" t="s">
        <v>132</v>
      </c>
      <c r="B848" t="s">
        <v>448</v>
      </c>
      <c r="C848">
        <v>164509</v>
      </c>
      <c r="D848">
        <v>2970.66</v>
      </c>
      <c r="E848" s="9">
        <v>43138</v>
      </c>
    </row>
    <row r="849" spans="1:5" x14ac:dyDescent="0.45">
      <c r="A849" t="s">
        <v>132</v>
      </c>
      <c r="B849" t="s">
        <v>448</v>
      </c>
      <c r="C849">
        <v>160196</v>
      </c>
      <c r="D849">
        <v>154.82</v>
      </c>
      <c r="E849" s="9">
        <v>43098</v>
      </c>
    </row>
    <row r="850" spans="1:5" x14ac:dyDescent="0.45">
      <c r="A850" t="s">
        <v>132</v>
      </c>
      <c r="B850" t="s">
        <v>448</v>
      </c>
      <c r="C850">
        <v>155960</v>
      </c>
      <c r="D850">
        <v>101.84</v>
      </c>
      <c r="E850" s="9">
        <v>43055</v>
      </c>
    </row>
    <row r="851" spans="1:5" x14ac:dyDescent="0.45">
      <c r="A851" t="s">
        <v>132</v>
      </c>
      <c r="B851" t="s">
        <v>448</v>
      </c>
      <c r="C851">
        <v>151947</v>
      </c>
      <c r="D851">
        <v>101.84</v>
      </c>
      <c r="E851" s="9">
        <v>43020</v>
      </c>
    </row>
    <row r="852" spans="1:5" x14ac:dyDescent="0.45">
      <c r="A852" t="s">
        <v>132</v>
      </c>
      <c r="B852" t="s">
        <v>448</v>
      </c>
      <c r="C852">
        <v>148851</v>
      </c>
      <c r="D852">
        <v>184.25</v>
      </c>
      <c r="E852" s="9">
        <v>42994</v>
      </c>
    </row>
    <row r="853" spans="1:5" x14ac:dyDescent="0.45">
      <c r="A853" t="s">
        <v>132</v>
      </c>
      <c r="B853" t="s">
        <v>448</v>
      </c>
      <c r="C853">
        <v>145203</v>
      </c>
      <c r="D853">
        <v>102.66</v>
      </c>
      <c r="E853" s="9">
        <v>42967</v>
      </c>
    </row>
    <row r="854" spans="1:5" x14ac:dyDescent="0.45">
      <c r="A854" t="s">
        <v>132</v>
      </c>
      <c r="B854" t="s">
        <v>448</v>
      </c>
      <c r="C854" s="14">
        <v>142500</v>
      </c>
      <c r="D854">
        <v>1922.48</v>
      </c>
      <c r="E854" s="9">
        <v>42752</v>
      </c>
    </row>
    <row r="855" spans="1:5" x14ac:dyDescent="0.45">
      <c r="A855" t="s">
        <v>132</v>
      </c>
      <c r="B855" t="s">
        <v>448</v>
      </c>
      <c r="C855">
        <v>140305</v>
      </c>
      <c r="D855">
        <v>155.63999999999999</v>
      </c>
      <c r="E855" s="9">
        <v>42695</v>
      </c>
    </row>
    <row r="856" spans="1:5" x14ac:dyDescent="0.45">
      <c r="A856" t="s">
        <v>132</v>
      </c>
      <c r="B856" t="s">
        <v>448</v>
      </c>
      <c r="C856">
        <v>131126</v>
      </c>
      <c r="D856">
        <v>400</v>
      </c>
      <c r="E856" s="9">
        <v>42676</v>
      </c>
    </row>
    <row r="857" spans="1:5" x14ac:dyDescent="0.45">
      <c r="A857" t="s">
        <v>132</v>
      </c>
      <c r="B857" t="s">
        <v>448</v>
      </c>
      <c r="C857">
        <v>136997</v>
      </c>
      <c r="D857">
        <v>125</v>
      </c>
      <c r="E857" s="9">
        <v>42666</v>
      </c>
    </row>
    <row r="858" spans="1:5" x14ac:dyDescent="0.45">
      <c r="A858" t="s">
        <v>132</v>
      </c>
      <c r="B858" t="s">
        <v>448</v>
      </c>
      <c r="C858">
        <v>134204</v>
      </c>
      <c r="D858">
        <v>80</v>
      </c>
      <c r="E858" s="9">
        <v>42644</v>
      </c>
    </row>
    <row r="859" spans="1:5" x14ac:dyDescent="0.45">
      <c r="A859" t="s">
        <v>132</v>
      </c>
      <c r="B859" t="s">
        <v>448</v>
      </c>
      <c r="C859">
        <v>111395</v>
      </c>
      <c r="D859">
        <v>1106</v>
      </c>
      <c r="E859" s="9">
        <v>42436</v>
      </c>
    </row>
    <row r="860" spans="1:5" x14ac:dyDescent="0.45">
      <c r="A860" t="s">
        <v>132</v>
      </c>
      <c r="B860" t="s">
        <v>448</v>
      </c>
      <c r="C860">
        <v>95183</v>
      </c>
      <c r="D860">
        <v>40.96</v>
      </c>
      <c r="E860" s="9">
        <v>42277</v>
      </c>
    </row>
    <row r="861" spans="1:5" x14ac:dyDescent="0.45">
      <c r="A861" t="s">
        <v>132</v>
      </c>
      <c r="B861" t="s">
        <v>448</v>
      </c>
      <c r="C861">
        <v>81178</v>
      </c>
      <c r="D861">
        <v>599.30999999999995</v>
      </c>
      <c r="E861" s="9">
        <v>42158</v>
      </c>
    </row>
    <row r="862" spans="1:5" x14ac:dyDescent="0.45">
      <c r="A862" t="s">
        <v>132</v>
      </c>
      <c r="B862" t="s">
        <v>448</v>
      </c>
      <c r="C862" s="14">
        <v>72500</v>
      </c>
      <c r="D862">
        <v>125</v>
      </c>
      <c r="E862" s="9">
        <v>42005</v>
      </c>
    </row>
    <row r="863" spans="1:5" x14ac:dyDescent="0.45">
      <c r="A863" t="s">
        <v>132</v>
      </c>
      <c r="B863" t="s">
        <v>448</v>
      </c>
      <c r="C863">
        <v>65620</v>
      </c>
      <c r="D863">
        <v>7298</v>
      </c>
      <c r="E863" s="9">
        <v>41984</v>
      </c>
    </row>
    <row r="864" spans="1:5" x14ac:dyDescent="0.45">
      <c r="A864" t="s">
        <v>132</v>
      </c>
      <c r="B864" t="s">
        <v>448</v>
      </c>
      <c r="C864" s="14">
        <v>55000</v>
      </c>
      <c r="D864">
        <v>200</v>
      </c>
      <c r="E864" s="9">
        <v>41904</v>
      </c>
    </row>
    <row r="865" spans="1:5" x14ac:dyDescent="0.45">
      <c r="A865" t="s">
        <v>132</v>
      </c>
      <c r="B865" t="s">
        <v>448</v>
      </c>
      <c r="C865">
        <v>51010</v>
      </c>
      <c r="D865">
        <v>1132.68</v>
      </c>
      <c r="E865" s="9">
        <v>41810</v>
      </c>
    </row>
    <row r="866" spans="1:5" x14ac:dyDescent="0.45">
      <c r="A866" t="s">
        <v>132</v>
      </c>
      <c r="B866" t="s">
        <v>448</v>
      </c>
      <c r="C866">
        <v>41810</v>
      </c>
      <c r="D866">
        <v>72.98</v>
      </c>
      <c r="E866" s="9">
        <v>41709</v>
      </c>
    </row>
    <row r="867" spans="1:5" x14ac:dyDescent="0.45">
      <c r="A867" t="s">
        <v>132</v>
      </c>
      <c r="B867" t="s">
        <v>448</v>
      </c>
      <c r="C867">
        <v>33115</v>
      </c>
      <c r="D867">
        <v>42.92</v>
      </c>
      <c r="E867" s="9">
        <v>41598</v>
      </c>
    </row>
    <row r="868" spans="1:5" x14ac:dyDescent="0.45">
      <c r="A868" t="s">
        <v>132</v>
      </c>
      <c r="B868" t="s">
        <v>448</v>
      </c>
      <c r="C868">
        <v>9054</v>
      </c>
      <c r="D868">
        <v>78.97</v>
      </c>
      <c r="E868" s="9">
        <v>41312</v>
      </c>
    </row>
    <row r="869" spans="1:5" x14ac:dyDescent="0.45">
      <c r="A869" t="s">
        <v>133</v>
      </c>
      <c r="B869" t="s">
        <v>452</v>
      </c>
      <c r="C869">
        <v>197836</v>
      </c>
      <c r="D869">
        <v>125</v>
      </c>
      <c r="E869" s="9">
        <v>44000</v>
      </c>
    </row>
    <row r="870" spans="1:5" x14ac:dyDescent="0.45">
      <c r="A870" t="s">
        <v>133</v>
      </c>
      <c r="B870" t="s">
        <v>452</v>
      </c>
      <c r="C870">
        <v>194171</v>
      </c>
      <c r="D870">
        <v>70.5</v>
      </c>
      <c r="E870" s="9">
        <v>43959</v>
      </c>
    </row>
    <row r="871" spans="1:5" x14ac:dyDescent="0.45">
      <c r="A871" t="s">
        <v>133</v>
      </c>
      <c r="B871" t="s">
        <v>452</v>
      </c>
      <c r="C871">
        <v>188725</v>
      </c>
      <c r="D871">
        <v>80</v>
      </c>
      <c r="E871" s="9">
        <v>43858</v>
      </c>
    </row>
    <row r="872" spans="1:5" x14ac:dyDescent="0.45">
      <c r="A872" t="s">
        <v>133</v>
      </c>
      <c r="B872" t="s">
        <v>452</v>
      </c>
      <c r="C872">
        <v>182704</v>
      </c>
      <c r="D872">
        <v>1863.22</v>
      </c>
      <c r="E872" s="9">
        <v>43774</v>
      </c>
    </row>
    <row r="873" spans="1:5" x14ac:dyDescent="0.45">
      <c r="A873" t="s">
        <v>133</v>
      </c>
      <c r="B873" t="s">
        <v>452</v>
      </c>
      <c r="C873">
        <v>173384</v>
      </c>
      <c r="D873">
        <v>22.11</v>
      </c>
      <c r="E873" s="9">
        <v>43668</v>
      </c>
    </row>
    <row r="874" spans="1:5" x14ac:dyDescent="0.45">
      <c r="A874" t="s">
        <v>133</v>
      </c>
      <c r="B874" t="s">
        <v>452</v>
      </c>
      <c r="C874">
        <v>172699</v>
      </c>
      <c r="D874">
        <v>1933.68</v>
      </c>
      <c r="E874" s="9">
        <v>43657</v>
      </c>
    </row>
    <row r="875" spans="1:5" x14ac:dyDescent="0.45">
      <c r="A875" t="s">
        <v>133</v>
      </c>
      <c r="B875" t="s">
        <v>452</v>
      </c>
      <c r="C875">
        <v>168822</v>
      </c>
      <c r="D875">
        <v>184.81</v>
      </c>
      <c r="E875" s="9">
        <v>43567</v>
      </c>
    </row>
    <row r="876" spans="1:5" x14ac:dyDescent="0.45">
      <c r="A876" t="s">
        <v>133</v>
      </c>
      <c r="B876" t="s">
        <v>452</v>
      </c>
      <c r="C876">
        <v>162890</v>
      </c>
      <c r="D876">
        <v>221.75</v>
      </c>
      <c r="E876" s="9">
        <v>43510</v>
      </c>
    </row>
    <row r="877" spans="1:5" x14ac:dyDescent="0.45">
      <c r="A877" t="s">
        <v>133</v>
      </c>
      <c r="B877" t="s">
        <v>452</v>
      </c>
      <c r="C877">
        <v>158752</v>
      </c>
      <c r="D877">
        <v>80</v>
      </c>
      <c r="E877" s="9">
        <v>43472</v>
      </c>
    </row>
    <row r="878" spans="1:5" x14ac:dyDescent="0.45">
      <c r="A878" t="s">
        <v>133</v>
      </c>
      <c r="B878" t="s">
        <v>452</v>
      </c>
      <c r="C878">
        <v>153788</v>
      </c>
      <c r="D878">
        <v>234.03</v>
      </c>
      <c r="E878" s="9">
        <v>43395</v>
      </c>
    </row>
    <row r="879" spans="1:5" x14ac:dyDescent="0.45">
      <c r="A879" t="s">
        <v>133</v>
      </c>
      <c r="B879" t="s">
        <v>452</v>
      </c>
      <c r="C879">
        <v>149558</v>
      </c>
      <c r="D879">
        <v>92.8</v>
      </c>
      <c r="E879" s="9">
        <v>43364</v>
      </c>
    </row>
    <row r="880" spans="1:5" x14ac:dyDescent="0.45">
      <c r="A880" t="s">
        <v>133</v>
      </c>
      <c r="B880" t="s">
        <v>452</v>
      </c>
      <c r="C880">
        <v>144058</v>
      </c>
      <c r="D880">
        <v>7921.41</v>
      </c>
      <c r="E880" s="9">
        <v>43252</v>
      </c>
    </row>
    <row r="881" spans="1:5" x14ac:dyDescent="0.45">
      <c r="A881" t="s">
        <v>133</v>
      </c>
      <c r="B881" t="s">
        <v>452</v>
      </c>
      <c r="C881">
        <v>143996</v>
      </c>
      <c r="D881">
        <v>125</v>
      </c>
      <c r="E881" s="9">
        <v>43215</v>
      </c>
    </row>
    <row r="882" spans="1:5" x14ac:dyDescent="0.45">
      <c r="A882" t="s">
        <v>133</v>
      </c>
      <c r="B882" t="s">
        <v>452</v>
      </c>
      <c r="C882">
        <v>141984</v>
      </c>
      <c r="D882">
        <v>1355.17</v>
      </c>
      <c r="E882" s="9">
        <v>43182</v>
      </c>
    </row>
    <row r="883" spans="1:5" x14ac:dyDescent="0.45">
      <c r="A883" t="s">
        <v>133</v>
      </c>
      <c r="B883" t="s">
        <v>452</v>
      </c>
      <c r="C883">
        <v>140548</v>
      </c>
      <c r="D883">
        <v>0</v>
      </c>
      <c r="E883" s="9">
        <v>43164</v>
      </c>
    </row>
    <row r="884" spans="1:5" x14ac:dyDescent="0.45">
      <c r="A884" t="s">
        <v>133</v>
      </c>
      <c r="B884" t="s">
        <v>452</v>
      </c>
      <c r="C884">
        <v>139565</v>
      </c>
      <c r="D884">
        <v>813.19</v>
      </c>
      <c r="E884" s="9">
        <v>43152</v>
      </c>
    </row>
    <row r="885" spans="1:5" x14ac:dyDescent="0.45">
      <c r="A885" t="s">
        <v>133</v>
      </c>
      <c r="B885" t="s">
        <v>452</v>
      </c>
      <c r="C885">
        <v>136925</v>
      </c>
      <c r="D885">
        <v>23.99</v>
      </c>
      <c r="E885" s="9">
        <v>43090</v>
      </c>
    </row>
    <row r="886" spans="1:5" x14ac:dyDescent="0.45">
      <c r="A886" t="s">
        <v>133</v>
      </c>
      <c r="B886" t="s">
        <v>452</v>
      </c>
      <c r="C886">
        <v>131925</v>
      </c>
      <c r="D886">
        <v>59.49</v>
      </c>
      <c r="E886" s="9">
        <v>43032</v>
      </c>
    </row>
    <row r="887" spans="1:5" x14ac:dyDescent="0.45">
      <c r="A887" t="s">
        <v>133</v>
      </c>
      <c r="B887" t="s">
        <v>452</v>
      </c>
      <c r="C887">
        <v>130104</v>
      </c>
      <c r="D887">
        <v>119.85</v>
      </c>
      <c r="E887" s="9">
        <v>43008</v>
      </c>
    </row>
    <row r="888" spans="1:5" x14ac:dyDescent="0.45">
      <c r="A888" t="s">
        <v>133</v>
      </c>
      <c r="B888" t="s">
        <v>452</v>
      </c>
      <c r="C888">
        <v>128936</v>
      </c>
      <c r="D888">
        <v>716.85</v>
      </c>
      <c r="E888" s="9">
        <v>42999</v>
      </c>
    </row>
    <row r="889" spans="1:5" x14ac:dyDescent="0.45">
      <c r="A889" t="s">
        <v>133</v>
      </c>
      <c r="B889" t="s">
        <v>452</v>
      </c>
      <c r="C889">
        <v>116239</v>
      </c>
      <c r="D889">
        <v>72.8</v>
      </c>
      <c r="E889" s="9">
        <v>42795</v>
      </c>
    </row>
    <row r="890" spans="1:5" x14ac:dyDescent="0.45">
      <c r="A890" t="s">
        <v>133</v>
      </c>
      <c r="B890" t="s">
        <v>452</v>
      </c>
      <c r="C890">
        <v>113996</v>
      </c>
      <c r="D890">
        <v>97.16</v>
      </c>
      <c r="E890" s="9">
        <v>42777</v>
      </c>
    </row>
    <row r="891" spans="1:5" x14ac:dyDescent="0.45">
      <c r="A891" t="s">
        <v>133</v>
      </c>
      <c r="B891" t="s">
        <v>452</v>
      </c>
      <c r="C891">
        <v>100072</v>
      </c>
      <c r="D891">
        <v>125</v>
      </c>
      <c r="E891" s="9">
        <v>42489</v>
      </c>
    </row>
    <row r="892" spans="1:5" x14ac:dyDescent="0.45">
      <c r="A892" t="s">
        <v>133</v>
      </c>
      <c r="B892" t="s">
        <v>452</v>
      </c>
      <c r="C892">
        <v>87622</v>
      </c>
      <c r="D892">
        <v>125</v>
      </c>
      <c r="E892" s="9">
        <v>42317</v>
      </c>
    </row>
    <row r="893" spans="1:5" x14ac:dyDescent="0.45">
      <c r="A893" t="s">
        <v>133</v>
      </c>
      <c r="B893" t="s">
        <v>452</v>
      </c>
      <c r="C893">
        <v>75228</v>
      </c>
      <c r="D893">
        <v>1205.17</v>
      </c>
      <c r="E893" s="9">
        <v>42159</v>
      </c>
    </row>
    <row r="894" spans="1:5" x14ac:dyDescent="0.45">
      <c r="A894" t="s">
        <v>133</v>
      </c>
      <c r="B894" t="s">
        <v>452</v>
      </c>
      <c r="C894" s="14">
        <v>65000</v>
      </c>
      <c r="D894">
        <v>125</v>
      </c>
      <c r="E894" s="9">
        <v>42005</v>
      </c>
    </row>
    <row r="895" spans="1:5" x14ac:dyDescent="0.45">
      <c r="A895" t="s">
        <v>133</v>
      </c>
      <c r="B895" t="s">
        <v>452</v>
      </c>
      <c r="C895">
        <v>55412</v>
      </c>
      <c r="D895">
        <v>545.44000000000005</v>
      </c>
      <c r="E895" s="9">
        <v>41899</v>
      </c>
    </row>
    <row r="896" spans="1:5" x14ac:dyDescent="0.45">
      <c r="A896" t="s">
        <v>133</v>
      </c>
      <c r="B896" t="s">
        <v>452</v>
      </c>
      <c r="C896">
        <v>46287</v>
      </c>
      <c r="D896">
        <v>180</v>
      </c>
      <c r="E896" s="9">
        <v>41803</v>
      </c>
    </row>
    <row r="897" spans="1:5" x14ac:dyDescent="0.45">
      <c r="A897" t="s">
        <v>133</v>
      </c>
      <c r="B897" t="s">
        <v>452</v>
      </c>
      <c r="C897">
        <v>41145</v>
      </c>
      <c r="D897">
        <v>46.96</v>
      </c>
      <c r="E897" s="9">
        <v>41747</v>
      </c>
    </row>
    <row r="898" spans="1:5" x14ac:dyDescent="0.45">
      <c r="A898" t="s">
        <v>133</v>
      </c>
      <c r="B898" t="s">
        <v>452</v>
      </c>
      <c r="C898" s="14">
        <v>40000</v>
      </c>
      <c r="D898">
        <v>38.36</v>
      </c>
      <c r="E898" s="9">
        <v>41724</v>
      </c>
    </row>
    <row r="899" spans="1:5" x14ac:dyDescent="0.45">
      <c r="A899" t="s">
        <v>133</v>
      </c>
      <c r="B899" t="s">
        <v>452</v>
      </c>
      <c r="C899">
        <v>38045</v>
      </c>
      <c r="D899">
        <v>46.83</v>
      </c>
      <c r="E899" s="9">
        <v>41706</v>
      </c>
    </row>
    <row r="900" spans="1:5" x14ac:dyDescent="0.45">
      <c r="A900" t="s">
        <v>133</v>
      </c>
      <c r="B900" t="s">
        <v>452</v>
      </c>
      <c r="C900">
        <v>35810</v>
      </c>
      <c r="D900">
        <v>85.54</v>
      </c>
      <c r="E900" s="9">
        <v>41676</v>
      </c>
    </row>
    <row r="901" spans="1:5" x14ac:dyDescent="0.45">
      <c r="A901" t="s">
        <v>133</v>
      </c>
      <c r="B901" t="s">
        <v>452</v>
      </c>
      <c r="C901">
        <v>26269</v>
      </c>
      <c r="D901">
        <v>44.38</v>
      </c>
      <c r="E901" s="9">
        <v>41538</v>
      </c>
    </row>
    <row r="902" spans="1:5" x14ac:dyDescent="0.45">
      <c r="A902" t="s">
        <v>133</v>
      </c>
      <c r="B902" t="s">
        <v>452</v>
      </c>
      <c r="C902">
        <v>19149</v>
      </c>
      <c r="D902">
        <v>32.92</v>
      </c>
      <c r="E902" s="9">
        <v>41467</v>
      </c>
    </row>
    <row r="903" spans="1:5" x14ac:dyDescent="0.45">
      <c r="A903" t="s">
        <v>133</v>
      </c>
      <c r="B903" t="s">
        <v>452</v>
      </c>
      <c r="C903">
        <v>9214</v>
      </c>
      <c r="D903">
        <v>80</v>
      </c>
      <c r="E903" s="9">
        <v>41360</v>
      </c>
    </row>
    <row r="904" spans="1:5" x14ac:dyDescent="0.45">
      <c r="A904" t="s">
        <v>134</v>
      </c>
      <c r="B904" t="s">
        <v>457</v>
      </c>
      <c r="C904">
        <v>222573</v>
      </c>
      <c r="D904">
        <v>110.32</v>
      </c>
      <c r="E904" s="9">
        <v>44176</v>
      </c>
    </row>
    <row r="905" spans="1:5" x14ac:dyDescent="0.45">
      <c r="A905" t="s">
        <v>134</v>
      </c>
      <c r="B905" t="s">
        <v>457</v>
      </c>
      <c r="C905">
        <v>215175</v>
      </c>
      <c r="D905">
        <v>168.69</v>
      </c>
      <c r="E905" s="9">
        <v>44074</v>
      </c>
    </row>
    <row r="906" spans="1:5" x14ac:dyDescent="0.45">
      <c r="A906" t="s">
        <v>134</v>
      </c>
      <c r="B906" t="s">
        <v>457</v>
      </c>
      <c r="C906">
        <v>213041</v>
      </c>
      <c r="D906">
        <v>125</v>
      </c>
      <c r="E906" s="9">
        <v>44047</v>
      </c>
    </row>
    <row r="907" spans="1:5" x14ac:dyDescent="0.45">
      <c r="A907" t="s">
        <v>134</v>
      </c>
      <c r="B907" t="s">
        <v>457</v>
      </c>
      <c r="C907">
        <v>211700</v>
      </c>
      <c r="D907">
        <v>111.78</v>
      </c>
      <c r="E907" s="9">
        <v>44036</v>
      </c>
    </row>
    <row r="908" spans="1:5" x14ac:dyDescent="0.45">
      <c r="A908" t="s">
        <v>134</v>
      </c>
      <c r="B908" t="s">
        <v>457</v>
      </c>
      <c r="C908">
        <v>207492</v>
      </c>
      <c r="D908">
        <v>80</v>
      </c>
      <c r="E908" s="9">
        <v>43986</v>
      </c>
    </row>
    <row r="909" spans="1:5" x14ac:dyDescent="0.45">
      <c r="A909" t="s">
        <v>134</v>
      </c>
      <c r="B909" t="s">
        <v>457</v>
      </c>
      <c r="C909">
        <v>202050</v>
      </c>
      <c r="D909">
        <v>72.8</v>
      </c>
      <c r="E909" s="9">
        <v>43837</v>
      </c>
    </row>
    <row r="910" spans="1:5" x14ac:dyDescent="0.45">
      <c r="A910" t="s">
        <v>134</v>
      </c>
      <c r="B910" t="s">
        <v>457</v>
      </c>
      <c r="C910">
        <v>202050</v>
      </c>
      <c r="D910">
        <v>211.33</v>
      </c>
      <c r="E910" s="9">
        <v>43837</v>
      </c>
    </row>
    <row r="911" spans="1:5" x14ac:dyDescent="0.45">
      <c r="A911" t="s">
        <v>134</v>
      </c>
      <c r="B911" t="s">
        <v>457</v>
      </c>
      <c r="C911">
        <v>197784</v>
      </c>
      <c r="D911">
        <v>62.81</v>
      </c>
      <c r="E911" s="9">
        <v>43777</v>
      </c>
    </row>
    <row r="912" spans="1:5" x14ac:dyDescent="0.45">
      <c r="A912" t="s">
        <v>134</v>
      </c>
      <c r="B912" t="s">
        <v>457</v>
      </c>
      <c r="C912">
        <v>197784</v>
      </c>
      <c r="D912">
        <v>3507.38</v>
      </c>
      <c r="E912" s="9">
        <v>43777</v>
      </c>
    </row>
    <row r="913" spans="1:5" x14ac:dyDescent="0.45">
      <c r="A913" t="s">
        <v>134</v>
      </c>
      <c r="B913" t="s">
        <v>457</v>
      </c>
      <c r="C913">
        <v>194938</v>
      </c>
      <c r="D913">
        <v>103.96</v>
      </c>
      <c r="E913" s="9">
        <v>43747</v>
      </c>
    </row>
    <row r="914" spans="1:5" x14ac:dyDescent="0.45">
      <c r="A914" t="s">
        <v>134</v>
      </c>
      <c r="B914" t="s">
        <v>457</v>
      </c>
      <c r="C914">
        <v>194054</v>
      </c>
      <c r="D914">
        <v>736.64</v>
      </c>
      <c r="E914" s="9">
        <v>43735</v>
      </c>
    </row>
    <row r="915" spans="1:5" x14ac:dyDescent="0.45">
      <c r="A915" t="s">
        <v>134</v>
      </c>
      <c r="B915" t="s">
        <v>457</v>
      </c>
      <c r="C915">
        <v>190127</v>
      </c>
      <c r="D915">
        <v>183.43</v>
      </c>
      <c r="E915" s="9">
        <v>43690</v>
      </c>
    </row>
    <row r="916" spans="1:5" x14ac:dyDescent="0.45">
      <c r="A916" t="s">
        <v>134</v>
      </c>
      <c r="B916" t="s">
        <v>457</v>
      </c>
      <c r="C916">
        <v>180237</v>
      </c>
      <c r="D916">
        <v>133.38999999999999</v>
      </c>
      <c r="E916" s="9">
        <v>43591</v>
      </c>
    </row>
    <row r="917" spans="1:5" x14ac:dyDescent="0.45">
      <c r="A917" t="s">
        <v>134</v>
      </c>
      <c r="B917" t="s">
        <v>457</v>
      </c>
      <c r="C917">
        <v>176003</v>
      </c>
      <c r="D917">
        <v>151.63999999999999</v>
      </c>
      <c r="E917" s="9">
        <v>43534</v>
      </c>
    </row>
    <row r="918" spans="1:5" x14ac:dyDescent="0.45">
      <c r="A918" t="s">
        <v>134</v>
      </c>
      <c r="B918" t="s">
        <v>457</v>
      </c>
      <c r="C918">
        <v>172143</v>
      </c>
      <c r="D918">
        <v>256.99</v>
      </c>
      <c r="E918" s="9">
        <v>43486</v>
      </c>
    </row>
    <row r="919" spans="1:5" x14ac:dyDescent="0.45">
      <c r="A919" t="s">
        <v>134</v>
      </c>
      <c r="B919" t="s">
        <v>457</v>
      </c>
      <c r="C919">
        <v>168162</v>
      </c>
      <c r="D919">
        <v>133.38999999999999</v>
      </c>
      <c r="E919" s="9">
        <v>43438</v>
      </c>
    </row>
    <row r="920" spans="1:5" x14ac:dyDescent="0.45">
      <c r="A920" t="s">
        <v>134</v>
      </c>
      <c r="B920" t="s">
        <v>457</v>
      </c>
      <c r="C920">
        <v>163569</v>
      </c>
      <c r="D920">
        <v>394.99</v>
      </c>
      <c r="E920" s="9">
        <v>43389</v>
      </c>
    </row>
    <row r="921" spans="1:5" x14ac:dyDescent="0.45">
      <c r="A921" t="s">
        <v>134</v>
      </c>
      <c r="B921" t="s">
        <v>457</v>
      </c>
      <c r="C921">
        <v>157845</v>
      </c>
      <c r="D921">
        <v>4495.74</v>
      </c>
      <c r="E921" s="9">
        <v>43306</v>
      </c>
    </row>
    <row r="922" spans="1:5" x14ac:dyDescent="0.45">
      <c r="A922" t="s">
        <v>134</v>
      </c>
      <c r="B922" t="s">
        <v>457</v>
      </c>
      <c r="C922">
        <v>154565</v>
      </c>
      <c r="D922">
        <v>113</v>
      </c>
      <c r="E922" s="9">
        <v>43263</v>
      </c>
    </row>
    <row r="923" spans="1:5" x14ac:dyDescent="0.45">
      <c r="A923" t="s">
        <v>134</v>
      </c>
      <c r="B923" t="s">
        <v>457</v>
      </c>
      <c r="C923">
        <v>150679</v>
      </c>
      <c r="D923">
        <v>74.28</v>
      </c>
      <c r="E923" s="9">
        <v>43216</v>
      </c>
    </row>
    <row r="924" spans="1:5" x14ac:dyDescent="0.45">
      <c r="A924" t="s">
        <v>134</v>
      </c>
      <c r="B924" t="s">
        <v>457</v>
      </c>
      <c r="C924">
        <v>148887</v>
      </c>
      <c r="D924">
        <v>80</v>
      </c>
      <c r="E924" s="9">
        <v>43202</v>
      </c>
    </row>
    <row r="925" spans="1:5" x14ac:dyDescent="0.45">
      <c r="A925" t="s">
        <v>134</v>
      </c>
      <c r="B925" t="s">
        <v>457</v>
      </c>
      <c r="C925">
        <v>147356</v>
      </c>
      <c r="D925">
        <v>0</v>
      </c>
      <c r="E925" s="9">
        <v>43174</v>
      </c>
    </row>
    <row r="926" spans="1:5" x14ac:dyDescent="0.45">
      <c r="A926" t="s">
        <v>134</v>
      </c>
      <c r="B926" t="s">
        <v>457</v>
      </c>
      <c r="C926">
        <v>147655</v>
      </c>
      <c r="D926">
        <v>127.26</v>
      </c>
      <c r="E926" s="9">
        <v>43167</v>
      </c>
    </row>
    <row r="927" spans="1:5" x14ac:dyDescent="0.45">
      <c r="A927" t="s">
        <v>134</v>
      </c>
      <c r="B927" t="s">
        <v>457</v>
      </c>
      <c r="C927">
        <v>144484</v>
      </c>
      <c r="D927">
        <v>80</v>
      </c>
      <c r="E927" s="9">
        <v>43143</v>
      </c>
    </row>
    <row r="928" spans="1:5" x14ac:dyDescent="0.45">
      <c r="A928" t="s">
        <v>134</v>
      </c>
      <c r="B928" t="s">
        <v>457</v>
      </c>
      <c r="C928">
        <v>143908</v>
      </c>
      <c r="D928">
        <v>74.28</v>
      </c>
      <c r="E928" s="9">
        <v>43136</v>
      </c>
    </row>
    <row r="929" spans="1:5" x14ac:dyDescent="0.45">
      <c r="A929" t="s">
        <v>134</v>
      </c>
      <c r="B929" t="s">
        <v>457</v>
      </c>
      <c r="C929">
        <v>140971</v>
      </c>
      <c r="D929">
        <v>158.11000000000001</v>
      </c>
      <c r="E929" s="9">
        <v>43081</v>
      </c>
    </row>
    <row r="930" spans="1:5" x14ac:dyDescent="0.45">
      <c r="A930" t="s">
        <v>134</v>
      </c>
      <c r="B930" t="s">
        <v>457</v>
      </c>
      <c r="C930">
        <v>137196</v>
      </c>
      <c r="D930">
        <v>74.28</v>
      </c>
      <c r="E930" s="9">
        <v>43046</v>
      </c>
    </row>
    <row r="931" spans="1:5" x14ac:dyDescent="0.45">
      <c r="A931" t="s">
        <v>134</v>
      </c>
      <c r="B931" t="s">
        <v>457</v>
      </c>
      <c r="C931">
        <v>133438</v>
      </c>
      <c r="D931">
        <v>3787.48</v>
      </c>
      <c r="E931" s="9">
        <v>42994</v>
      </c>
    </row>
    <row r="932" spans="1:5" x14ac:dyDescent="0.45">
      <c r="A932" t="s">
        <v>134</v>
      </c>
      <c r="B932" t="s">
        <v>457</v>
      </c>
      <c r="C932">
        <v>133436</v>
      </c>
      <c r="D932">
        <v>295</v>
      </c>
      <c r="E932" s="9">
        <v>42990</v>
      </c>
    </row>
    <row r="933" spans="1:5" x14ac:dyDescent="0.45">
      <c r="A933" t="s">
        <v>134</v>
      </c>
      <c r="B933" t="s">
        <v>457</v>
      </c>
      <c r="C933">
        <v>132600</v>
      </c>
      <c r="D933">
        <v>200.56</v>
      </c>
      <c r="E933" s="9">
        <v>42978</v>
      </c>
    </row>
    <row r="934" spans="1:5" x14ac:dyDescent="0.45">
      <c r="A934" t="s">
        <v>134</v>
      </c>
      <c r="B934" t="s">
        <v>457</v>
      </c>
      <c r="C934">
        <v>129820</v>
      </c>
      <c r="D934">
        <v>62.93</v>
      </c>
      <c r="E934" s="9">
        <v>42950</v>
      </c>
    </row>
    <row r="935" spans="1:5" x14ac:dyDescent="0.45">
      <c r="A935" t="s">
        <v>134</v>
      </c>
      <c r="B935" t="s">
        <v>457</v>
      </c>
      <c r="C935">
        <v>129161</v>
      </c>
      <c r="D935">
        <v>1031.4000000000001</v>
      </c>
      <c r="E935" s="9">
        <v>42944</v>
      </c>
    </row>
    <row r="936" spans="1:5" x14ac:dyDescent="0.45">
      <c r="A936" t="s">
        <v>134</v>
      </c>
      <c r="B936" t="s">
        <v>457</v>
      </c>
      <c r="C936">
        <v>126294</v>
      </c>
      <c r="D936">
        <v>107.97</v>
      </c>
      <c r="E936" s="9">
        <v>42912</v>
      </c>
    </row>
    <row r="937" spans="1:5" x14ac:dyDescent="0.45">
      <c r="A937" t="s">
        <v>134</v>
      </c>
      <c r="B937" t="s">
        <v>457</v>
      </c>
      <c r="C937">
        <v>122281</v>
      </c>
      <c r="D937">
        <v>80</v>
      </c>
      <c r="E937" s="9">
        <v>42878</v>
      </c>
    </row>
    <row r="938" spans="1:5" x14ac:dyDescent="0.45">
      <c r="A938" t="s">
        <v>134</v>
      </c>
      <c r="B938" t="s">
        <v>457</v>
      </c>
      <c r="C938">
        <v>122146</v>
      </c>
      <c r="D938">
        <v>71.099999999999994</v>
      </c>
      <c r="E938" s="9">
        <v>42877</v>
      </c>
    </row>
    <row r="939" spans="1:5" x14ac:dyDescent="0.45">
      <c r="A939" t="s">
        <v>134</v>
      </c>
      <c r="B939" t="s">
        <v>457</v>
      </c>
      <c r="C939">
        <v>118403</v>
      </c>
      <c r="D939">
        <v>80.040000000000006</v>
      </c>
      <c r="E939" s="9">
        <v>42846</v>
      </c>
    </row>
    <row r="940" spans="1:5" x14ac:dyDescent="0.45">
      <c r="A940" t="s">
        <v>134</v>
      </c>
      <c r="B940" t="s">
        <v>457</v>
      </c>
      <c r="C940">
        <v>114222</v>
      </c>
      <c r="D940">
        <v>72.98</v>
      </c>
      <c r="E940" s="9">
        <v>42800</v>
      </c>
    </row>
    <row r="941" spans="1:5" x14ac:dyDescent="0.45">
      <c r="A941" t="s">
        <v>134</v>
      </c>
      <c r="B941" t="s">
        <v>457</v>
      </c>
      <c r="C941">
        <v>111167</v>
      </c>
      <c r="D941">
        <v>72.98</v>
      </c>
      <c r="E941" s="9">
        <v>42767</v>
      </c>
    </row>
    <row r="942" spans="1:5" x14ac:dyDescent="0.45">
      <c r="A942" t="s">
        <v>134</v>
      </c>
      <c r="B942" t="s">
        <v>457</v>
      </c>
      <c r="C942">
        <v>107629</v>
      </c>
      <c r="D942">
        <v>125</v>
      </c>
      <c r="E942" s="9">
        <v>42734</v>
      </c>
    </row>
    <row r="943" spans="1:5" x14ac:dyDescent="0.45">
      <c r="A943" t="s">
        <v>134</v>
      </c>
      <c r="B943" t="s">
        <v>457</v>
      </c>
      <c r="C943">
        <v>105485</v>
      </c>
      <c r="D943">
        <v>50</v>
      </c>
      <c r="E943" s="9">
        <v>42716</v>
      </c>
    </row>
    <row r="944" spans="1:5" x14ac:dyDescent="0.45">
      <c r="A944" t="s">
        <v>134</v>
      </c>
      <c r="B944" t="s">
        <v>457</v>
      </c>
      <c r="C944">
        <v>104060</v>
      </c>
      <c r="D944">
        <v>80</v>
      </c>
      <c r="E944" s="9">
        <v>42703</v>
      </c>
    </row>
    <row r="945" spans="1:5" x14ac:dyDescent="0.45">
      <c r="A945" t="s">
        <v>134</v>
      </c>
      <c r="B945" t="s">
        <v>457</v>
      </c>
      <c r="C945">
        <v>100519</v>
      </c>
      <c r="D945">
        <v>103.7</v>
      </c>
      <c r="E945" s="9">
        <v>42672</v>
      </c>
    </row>
    <row r="946" spans="1:5" x14ac:dyDescent="0.45">
      <c r="A946" t="s">
        <v>134</v>
      </c>
      <c r="B946" t="s">
        <v>457</v>
      </c>
      <c r="C946">
        <v>100519</v>
      </c>
      <c r="D946">
        <v>80</v>
      </c>
      <c r="E946" s="9">
        <v>42672</v>
      </c>
    </row>
    <row r="947" spans="1:5" x14ac:dyDescent="0.45">
      <c r="A947" t="s">
        <v>134</v>
      </c>
      <c r="B947" t="s">
        <v>457</v>
      </c>
      <c r="C947">
        <v>97810</v>
      </c>
      <c r="D947">
        <v>80</v>
      </c>
      <c r="E947" s="9">
        <v>42651</v>
      </c>
    </row>
    <row r="948" spans="1:5" x14ac:dyDescent="0.45">
      <c r="A948" t="s">
        <v>134</v>
      </c>
      <c r="B948" t="s">
        <v>457</v>
      </c>
      <c r="C948">
        <v>60561</v>
      </c>
      <c r="D948">
        <v>1254.6500000000001</v>
      </c>
      <c r="E948" s="9">
        <v>42200</v>
      </c>
    </row>
    <row r="949" spans="1:5" x14ac:dyDescent="0.45">
      <c r="A949" t="s">
        <v>134</v>
      </c>
      <c r="B949" t="s">
        <v>457</v>
      </c>
      <c r="C949">
        <v>58070</v>
      </c>
      <c r="D949">
        <v>62.03</v>
      </c>
      <c r="E949" s="9">
        <v>42173</v>
      </c>
    </row>
    <row r="950" spans="1:5" x14ac:dyDescent="0.45">
      <c r="A950" t="s">
        <v>134</v>
      </c>
      <c r="B950" t="s">
        <v>457</v>
      </c>
      <c r="C950">
        <v>0</v>
      </c>
      <c r="D950">
        <v>125</v>
      </c>
      <c r="E950" s="9">
        <v>42005</v>
      </c>
    </row>
    <row r="951" spans="1:5" x14ac:dyDescent="0.45">
      <c r="A951" t="s">
        <v>134</v>
      </c>
      <c r="B951" t="s">
        <v>457</v>
      </c>
      <c r="C951">
        <v>27748</v>
      </c>
      <c r="D951">
        <v>62.92</v>
      </c>
      <c r="E951" s="9">
        <v>41779</v>
      </c>
    </row>
    <row r="952" spans="1:5" x14ac:dyDescent="0.45">
      <c r="A952" t="s">
        <v>134</v>
      </c>
      <c r="B952" t="s">
        <v>457</v>
      </c>
      <c r="C952">
        <v>18664</v>
      </c>
      <c r="D952">
        <v>68.41</v>
      </c>
      <c r="E952" s="9">
        <v>41661</v>
      </c>
    </row>
    <row r="953" spans="1:5" x14ac:dyDescent="0.45">
      <c r="A953" t="s">
        <v>134</v>
      </c>
      <c r="B953" t="s">
        <v>457</v>
      </c>
      <c r="C953">
        <v>9833</v>
      </c>
      <c r="D953">
        <v>36.71</v>
      </c>
      <c r="E953" s="9">
        <v>41561</v>
      </c>
    </row>
    <row r="954" spans="1:5" x14ac:dyDescent="0.45">
      <c r="A954" t="s">
        <v>135</v>
      </c>
      <c r="B954" t="s">
        <v>461</v>
      </c>
      <c r="C954">
        <v>164712</v>
      </c>
      <c r="D954">
        <v>128.41999999999999</v>
      </c>
      <c r="E954" s="9">
        <v>44159</v>
      </c>
    </row>
    <row r="955" spans="1:5" x14ac:dyDescent="0.45">
      <c r="A955" t="s">
        <v>135</v>
      </c>
      <c r="B955" t="s">
        <v>461</v>
      </c>
      <c r="C955">
        <v>158108</v>
      </c>
      <c r="D955">
        <v>76.400000000000006</v>
      </c>
      <c r="E955" s="9">
        <v>44085</v>
      </c>
    </row>
    <row r="956" spans="1:5" x14ac:dyDescent="0.45">
      <c r="A956" t="s">
        <v>135</v>
      </c>
      <c r="B956" t="s">
        <v>461</v>
      </c>
      <c r="C956">
        <v>154210</v>
      </c>
      <c r="D956">
        <v>125</v>
      </c>
      <c r="E956" s="9">
        <v>44042</v>
      </c>
    </row>
    <row r="957" spans="1:5" x14ac:dyDescent="0.45">
      <c r="A957" t="s">
        <v>135</v>
      </c>
      <c r="B957" t="s">
        <v>461</v>
      </c>
      <c r="C957">
        <v>150943</v>
      </c>
      <c r="D957">
        <v>80</v>
      </c>
      <c r="E957" s="9">
        <v>44012</v>
      </c>
    </row>
    <row r="958" spans="1:5" x14ac:dyDescent="0.45">
      <c r="A958" t="s">
        <v>135</v>
      </c>
      <c r="B958" t="s">
        <v>461</v>
      </c>
      <c r="C958">
        <v>143273</v>
      </c>
      <c r="D958">
        <v>64.94</v>
      </c>
      <c r="E958" s="9">
        <v>43944</v>
      </c>
    </row>
    <row r="959" spans="1:5" x14ac:dyDescent="0.45">
      <c r="A959" t="s">
        <v>135</v>
      </c>
      <c r="B959" t="s">
        <v>461</v>
      </c>
      <c r="C959">
        <v>138374</v>
      </c>
      <c r="D959">
        <v>45.03</v>
      </c>
      <c r="E959" s="9">
        <v>43888</v>
      </c>
    </row>
    <row r="960" spans="1:5" x14ac:dyDescent="0.45">
      <c r="A960" t="s">
        <v>135</v>
      </c>
      <c r="B960" t="s">
        <v>461</v>
      </c>
      <c r="C960">
        <v>135460</v>
      </c>
      <c r="D960">
        <v>75.33</v>
      </c>
      <c r="E960" s="9">
        <v>43864</v>
      </c>
    </row>
    <row r="961" spans="1:5" x14ac:dyDescent="0.45">
      <c r="A961" t="s">
        <v>135</v>
      </c>
      <c r="B961" t="s">
        <v>461</v>
      </c>
      <c r="C961">
        <v>131276</v>
      </c>
      <c r="D961">
        <v>101.83</v>
      </c>
      <c r="E961" s="9">
        <v>43803</v>
      </c>
    </row>
    <row r="962" spans="1:5" x14ac:dyDescent="0.45">
      <c r="A962" t="s">
        <v>135</v>
      </c>
      <c r="B962" t="s">
        <v>461</v>
      </c>
      <c r="C962">
        <v>127500</v>
      </c>
      <c r="D962">
        <v>64.03</v>
      </c>
      <c r="E962" s="9">
        <v>43762</v>
      </c>
    </row>
    <row r="963" spans="1:5" x14ac:dyDescent="0.45">
      <c r="A963" t="s">
        <v>135</v>
      </c>
      <c r="B963" t="s">
        <v>461</v>
      </c>
      <c r="C963">
        <v>122965</v>
      </c>
      <c r="D963">
        <v>64.03</v>
      </c>
      <c r="E963" s="9">
        <v>43720</v>
      </c>
    </row>
    <row r="964" spans="1:5" x14ac:dyDescent="0.45">
      <c r="A964" t="s">
        <v>135</v>
      </c>
      <c r="B964" t="s">
        <v>461</v>
      </c>
      <c r="C964">
        <v>118175</v>
      </c>
      <c r="D964">
        <v>101.83</v>
      </c>
      <c r="E964" s="9">
        <v>43669</v>
      </c>
    </row>
    <row r="965" spans="1:5" x14ac:dyDescent="0.45">
      <c r="A965" t="s">
        <v>135</v>
      </c>
      <c r="B965" t="s">
        <v>461</v>
      </c>
      <c r="C965">
        <v>114107</v>
      </c>
      <c r="D965">
        <v>64.03</v>
      </c>
      <c r="E965" s="9">
        <v>43629</v>
      </c>
    </row>
    <row r="966" spans="1:5" x14ac:dyDescent="0.45">
      <c r="A966" t="s">
        <v>135</v>
      </c>
      <c r="B966" t="s">
        <v>461</v>
      </c>
      <c r="C966">
        <v>109219</v>
      </c>
      <c r="D966">
        <v>75.34</v>
      </c>
      <c r="E966" s="9">
        <v>43582</v>
      </c>
    </row>
    <row r="967" spans="1:5" x14ac:dyDescent="0.45">
      <c r="A967" t="s">
        <v>135</v>
      </c>
      <c r="B967" t="s">
        <v>461</v>
      </c>
      <c r="C967">
        <v>104991</v>
      </c>
      <c r="D967">
        <v>128.32</v>
      </c>
      <c r="E967" s="9">
        <v>43543</v>
      </c>
    </row>
    <row r="968" spans="1:5" x14ac:dyDescent="0.45">
      <c r="A968" t="s">
        <v>135</v>
      </c>
      <c r="B968" t="s">
        <v>461</v>
      </c>
      <c r="C968">
        <v>101505</v>
      </c>
      <c r="D968">
        <v>1341.03</v>
      </c>
      <c r="E968" s="9">
        <v>43507</v>
      </c>
    </row>
    <row r="969" spans="1:5" x14ac:dyDescent="0.45">
      <c r="A969" t="s">
        <v>135</v>
      </c>
      <c r="B969" t="s">
        <v>461</v>
      </c>
      <c r="C969">
        <v>97808</v>
      </c>
      <c r="D969">
        <v>66.010000000000005</v>
      </c>
      <c r="E969" s="9">
        <v>43473</v>
      </c>
    </row>
    <row r="970" spans="1:5" x14ac:dyDescent="0.45">
      <c r="A970" t="s">
        <v>135</v>
      </c>
      <c r="B970" t="s">
        <v>461</v>
      </c>
      <c r="C970">
        <v>93383</v>
      </c>
      <c r="D970">
        <v>75.34</v>
      </c>
      <c r="E970" s="9">
        <v>43428</v>
      </c>
    </row>
    <row r="971" spans="1:5" x14ac:dyDescent="0.45">
      <c r="A971" t="s">
        <v>135</v>
      </c>
      <c r="B971" t="s">
        <v>461</v>
      </c>
      <c r="C971">
        <v>88680</v>
      </c>
      <c r="D971">
        <v>80</v>
      </c>
      <c r="E971" s="9">
        <v>43363</v>
      </c>
    </row>
    <row r="972" spans="1:5" x14ac:dyDescent="0.45">
      <c r="A972" t="s">
        <v>135</v>
      </c>
      <c r="B972" t="s">
        <v>461</v>
      </c>
      <c r="C972">
        <v>84175</v>
      </c>
      <c r="D972">
        <v>66.010000000000005</v>
      </c>
      <c r="E972" s="9">
        <v>43315</v>
      </c>
    </row>
    <row r="973" spans="1:5" x14ac:dyDescent="0.45">
      <c r="A973" t="s">
        <v>135</v>
      </c>
      <c r="B973" t="s">
        <v>461</v>
      </c>
      <c r="C973">
        <v>79578</v>
      </c>
      <c r="D973">
        <v>80</v>
      </c>
      <c r="E973" s="9">
        <v>43272</v>
      </c>
    </row>
    <row r="974" spans="1:5" x14ac:dyDescent="0.45">
      <c r="A974" t="s">
        <v>135</v>
      </c>
      <c r="B974" t="s">
        <v>461</v>
      </c>
      <c r="C974">
        <v>73385</v>
      </c>
      <c r="D974">
        <v>2194.5</v>
      </c>
      <c r="E974" s="9">
        <v>43182</v>
      </c>
    </row>
    <row r="975" spans="1:5" x14ac:dyDescent="0.45">
      <c r="A975" t="s">
        <v>135</v>
      </c>
      <c r="B975" t="s">
        <v>461</v>
      </c>
      <c r="C975">
        <v>72890</v>
      </c>
      <c r="D975">
        <v>0</v>
      </c>
      <c r="E975" s="9">
        <v>43174</v>
      </c>
    </row>
    <row r="976" spans="1:5" x14ac:dyDescent="0.45">
      <c r="A976" t="s">
        <v>135</v>
      </c>
      <c r="B976" t="s">
        <v>461</v>
      </c>
      <c r="C976">
        <v>71710</v>
      </c>
      <c r="D976">
        <v>125</v>
      </c>
      <c r="E976" s="9">
        <v>43161</v>
      </c>
    </row>
    <row r="977" spans="1:5" x14ac:dyDescent="0.45">
      <c r="A977" t="s">
        <v>135</v>
      </c>
      <c r="B977" t="s">
        <v>461</v>
      </c>
      <c r="C977">
        <v>70611</v>
      </c>
      <c r="D977">
        <v>101.84</v>
      </c>
      <c r="E977" s="9">
        <v>43153</v>
      </c>
    </row>
    <row r="978" spans="1:5" x14ac:dyDescent="0.45">
      <c r="A978" t="s">
        <v>135</v>
      </c>
      <c r="B978" t="s">
        <v>461</v>
      </c>
      <c r="C978">
        <v>65937</v>
      </c>
      <c r="D978">
        <v>154.68</v>
      </c>
      <c r="E978" s="9">
        <v>43113</v>
      </c>
    </row>
    <row r="979" spans="1:5" x14ac:dyDescent="0.45">
      <c r="A979" t="s">
        <v>135</v>
      </c>
      <c r="B979" t="s">
        <v>461</v>
      </c>
      <c r="C979">
        <v>60426</v>
      </c>
      <c r="D979">
        <v>85.57</v>
      </c>
      <c r="E979" s="9">
        <v>43060</v>
      </c>
    </row>
    <row r="980" spans="1:5" x14ac:dyDescent="0.45">
      <c r="A980" t="s">
        <v>135</v>
      </c>
      <c r="B980" t="s">
        <v>461</v>
      </c>
      <c r="C980">
        <v>56642</v>
      </c>
      <c r="D980">
        <v>74.599999999999994</v>
      </c>
      <c r="E980" s="9">
        <v>43012</v>
      </c>
    </row>
    <row r="981" spans="1:5" x14ac:dyDescent="0.45">
      <c r="A981" t="s">
        <v>135</v>
      </c>
      <c r="B981" t="s">
        <v>461</v>
      </c>
      <c r="C981">
        <v>56279</v>
      </c>
      <c r="D981">
        <v>102.66</v>
      </c>
      <c r="E981" s="9">
        <v>43007</v>
      </c>
    </row>
    <row r="982" spans="1:5" x14ac:dyDescent="0.45">
      <c r="A982" t="s">
        <v>135</v>
      </c>
      <c r="B982" t="s">
        <v>461</v>
      </c>
      <c r="C982">
        <v>54733</v>
      </c>
      <c r="D982">
        <v>613.66999999999996</v>
      </c>
      <c r="E982" s="9">
        <v>42993</v>
      </c>
    </row>
    <row r="983" spans="1:5" x14ac:dyDescent="0.45">
      <c r="A983" t="s">
        <v>135</v>
      </c>
      <c r="B983" t="s">
        <v>461</v>
      </c>
      <c r="C983">
        <v>52600</v>
      </c>
      <c r="D983">
        <v>125</v>
      </c>
      <c r="E983" s="9">
        <v>42796</v>
      </c>
    </row>
    <row r="984" spans="1:5" x14ac:dyDescent="0.45">
      <c r="A984" t="s">
        <v>135</v>
      </c>
      <c r="B984" t="s">
        <v>461</v>
      </c>
      <c r="C984">
        <v>50397</v>
      </c>
      <c r="D984">
        <v>80</v>
      </c>
      <c r="E984" s="9">
        <v>42741</v>
      </c>
    </row>
    <row r="985" spans="1:5" x14ac:dyDescent="0.45">
      <c r="A985" t="s">
        <v>135</v>
      </c>
      <c r="B985" t="s">
        <v>461</v>
      </c>
      <c r="C985">
        <v>45478</v>
      </c>
      <c r="D985">
        <v>125</v>
      </c>
      <c r="E985" s="9">
        <v>42661</v>
      </c>
    </row>
    <row r="986" spans="1:5" x14ac:dyDescent="0.45">
      <c r="A986" t="s">
        <v>135</v>
      </c>
      <c r="B986" t="s">
        <v>461</v>
      </c>
      <c r="C986">
        <v>36768</v>
      </c>
      <c r="D986">
        <v>94.18</v>
      </c>
      <c r="E986" s="9">
        <v>42062</v>
      </c>
    </row>
    <row r="987" spans="1:5" x14ac:dyDescent="0.45">
      <c r="A987" t="s">
        <v>135</v>
      </c>
      <c r="B987" t="s">
        <v>461</v>
      </c>
      <c r="C987" s="14">
        <v>32500</v>
      </c>
      <c r="D987">
        <v>125</v>
      </c>
      <c r="E987" s="9">
        <v>42005</v>
      </c>
    </row>
    <row r="988" spans="1:5" x14ac:dyDescent="0.45">
      <c r="A988" t="s">
        <v>135</v>
      </c>
      <c r="B988" t="s">
        <v>461</v>
      </c>
      <c r="C988">
        <v>28375</v>
      </c>
      <c r="D988">
        <v>118.55</v>
      </c>
      <c r="E988" s="9">
        <v>41981</v>
      </c>
    </row>
    <row r="989" spans="1:5" x14ac:dyDescent="0.45">
      <c r="A989" t="s">
        <v>135</v>
      </c>
      <c r="B989" t="s">
        <v>461</v>
      </c>
      <c r="C989">
        <v>18290</v>
      </c>
      <c r="D989">
        <v>92.06</v>
      </c>
      <c r="E989" s="9">
        <v>41871</v>
      </c>
    </row>
    <row r="990" spans="1:5" x14ac:dyDescent="0.45">
      <c r="A990" t="s">
        <v>135</v>
      </c>
      <c r="B990" t="s">
        <v>461</v>
      </c>
      <c r="C990">
        <v>9265</v>
      </c>
      <c r="D990">
        <v>74.03</v>
      </c>
      <c r="E990" s="9">
        <v>41753</v>
      </c>
    </row>
    <row r="991" spans="1:5" x14ac:dyDescent="0.45">
      <c r="A991" t="s">
        <v>135</v>
      </c>
      <c r="B991" t="s">
        <v>461</v>
      </c>
      <c r="C991">
        <v>0</v>
      </c>
      <c r="D991">
        <v>347.31</v>
      </c>
      <c r="E991" s="9">
        <v>41652</v>
      </c>
    </row>
    <row r="992" spans="1:5" x14ac:dyDescent="0.45">
      <c r="A992" t="s">
        <v>136</v>
      </c>
      <c r="B992" t="s">
        <v>464</v>
      </c>
      <c r="C992">
        <v>160415</v>
      </c>
      <c r="D992">
        <v>87.45</v>
      </c>
      <c r="E992" s="9">
        <v>43845</v>
      </c>
    </row>
    <row r="993" spans="1:5" x14ac:dyDescent="0.45">
      <c r="A993" t="s">
        <v>136</v>
      </c>
      <c r="B993" t="s">
        <v>464</v>
      </c>
      <c r="C993">
        <v>154672</v>
      </c>
      <c r="D993">
        <v>64.03</v>
      </c>
      <c r="E993" s="9">
        <v>43767</v>
      </c>
    </row>
    <row r="994" spans="1:5" x14ac:dyDescent="0.45">
      <c r="A994" t="s">
        <v>136</v>
      </c>
      <c r="B994" t="s">
        <v>464</v>
      </c>
      <c r="C994">
        <v>145767</v>
      </c>
      <c r="D994">
        <v>101.83</v>
      </c>
      <c r="E994" s="9">
        <v>43657</v>
      </c>
    </row>
    <row r="995" spans="1:5" x14ac:dyDescent="0.45">
      <c r="A995" t="s">
        <v>136</v>
      </c>
      <c r="B995" t="s">
        <v>464</v>
      </c>
      <c r="C995">
        <v>137726</v>
      </c>
      <c r="D995">
        <v>64.03</v>
      </c>
      <c r="E995" s="9">
        <v>43547</v>
      </c>
    </row>
    <row r="996" spans="1:5" x14ac:dyDescent="0.45">
      <c r="A996" t="s">
        <v>136</v>
      </c>
      <c r="B996" t="s">
        <v>464</v>
      </c>
      <c r="C996">
        <v>134618</v>
      </c>
      <c r="D996">
        <v>2217.56</v>
      </c>
      <c r="E996" s="9">
        <v>43509</v>
      </c>
    </row>
    <row r="997" spans="1:5" x14ac:dyDescent="0.45">
      <c r="A997" t="s">
        <v>136</v>
      </c>
      <c r="B997" t="s">
        <v>464</v>
      </c>
      <c r="C997">
        <v>132709</v>
      </c>
      <c r="D997">
        <v>650.54</v>
      </c>
      <c r="E997" s="9">
        <v>43479</v>
      </c>
    </row>
    <row r="998" spans="1:5" x14ac:dyDescent="0.45">
      <c r="A998" t="s">
        <v>136</v>
      </c>
      <c r="B998" t="s">
        <v>464</v>
      </c>
      <c r="C998">
        <v>130271</v>
      </c>
      <c r="D998">
        <v>86.55</v>
      </c>
      <c r="E998" s="9">
        <v>43440</v>
      </c>
    </row>
    <row r="999" spans="1:5" x14ac:dyDescent="0.45">
      <c r="A999" t="s">
        <v>136</v>
      </c>
      <c r="B999" t="s">
        <v>464</v>
      </c>
      <c r="C999">
        <v>125105</v>
      </c>
      <c r="D999">
        <v>74.28</v>
      </c>
      <c r="E999" s="9">
        <v>43365</v>
      </c>
    </row>
    <row r="1000" spans="1:5" x14ac:dyDescent="0.45">
      <c r="A1000" t="s">
        <v>136</v>
      </c>
      <c r="B1000" t="s">
        <v>464</v>
      </c>
      <c r="C1000">
        <v>120994</v>
      </c>
      <c r="D1000">
        <v>74.28</v>
      </c>
      <c r="E1000" s="9">
        <v>43322</v>
      </c>
    </row>
    <row r="1001" spans="1:5" x14ac:dyDescent="0.45">
      <c r="A1001" t="s">
        <v>136</v>
      </c>
      <c r="B1001" t="s">
        <v>464</v>
      </c>
      <c r="C1001">
        <v>116281</v>
      </c>
      <c r="D1001">
        <v>100.77</v>
      </c>
      <c r="E1001" s="9">
        <v>43265</v>
      </c>
    </row>
    <row r="1002" spans="1:5" x14ac:dyDescent="0.45">
      <c r="A1002" t="s">
        <v>136</v>
      </c>
      <c r="B1002" t="s">
        <v>464</v>
      </c>
      <c r="C1002">
        <v>110504</v>
      </c>
      <c r="D1002">
        <v>375.06</v>
      </c>
      <c r="E1002" s="9">
        <v>43196</v>
      </c>
    </row>
    <row r="1003" spans="1:5" x14ac:dyDescent="0.45">
      <c r="A1003" t="s">
        <v>136</v>
      </c>
      <c r="B1003" t="s">
        <v>464</v>
      </c>
      <c r="C1003">
        <v>107585</v>
      </c>
      <c r="D1003">
        <v>125</v>
      </c>
      <c r="E1003" s="9">
        <v>43161</v>
      </c>
    </row>
    <row r="1004" spans="1:5" x14ac:dyDescent="0.45">
      <c r="A1004" t="s">
        <v>136</v>
      </c>
      <c r="B1004" t="s">
        <v>464</v>
      </c>
      <c r="C1004">
        <v>107459</v>
      </c>
      <c r="D1004">
        <v>74.28</v>
      </c>
      <c r="E1004" s="9">
        <v>43160</v>
      </c>
    </row>
    <row r="1005" spans="1:5" x14ac:dyDescent="0.45">
      <c r="A1005" t="s">
        <v>136</v>
      </c>
      <c r="B1005" t="s">
        <v>464</v>
      </c>
      <c r="C1005">
        <v>103066</v>
      </c>
      <c r="D1005">
        <v>74.28</v>
      </c>
      <c r="E1005" s="9">
        <v>43106</v>
      </c>
    </row>
    <row r="1006" spans="1:5" x14ac:dyDescent="0.45">
      <c r="A1006" t="s">
        <v>136</v>
      </c>
      <c r="B1006" t="s">
        <v>464</v>
      </c>
      <c r="C1006">
        <v>98246</v>
      </c>
      <c r="D1006">
        <v>74.28</v>
      </c>
      <c r="E1006" s="9">
        <v>43047</v>
      </c>
    </row>
    <row r="1007" spans="1:5" x14ac:dyDescent="0.45">
      <c r="A1007" t="s">
        <v>136</v>
      </c>
      <c r="B1007" t="s">
        <v>464</v>
      </c>
      <c r="C1007">
        <v>93266</v>
      </c>
      <c r="D1007">
        <v>74.040000000000006</v>
      </c>
      <c r="E1007" s="9">
        <v>42993</v>
      </c>
    </row>
    <row r="1008" spans="1:5" x14ac:dyDescent="0.45">
      <c r="A1008" t="s">
        <v>136</v>
      </c>
      <c r="B1008" t="s">
        <v>464</v>
      </c>
      <c r="C1008">
        <v>87943</v>
      </c>
      <c r="D1008">
        <v>74.040000000000006</v>
      </c>
      <c r="E1008" s="9">
        <v>42939</v>
      </c>
    </row>
    <row r="1009" spans="1:5" x14ac:dyDescent="0.45">
      <c r="A1009" t="s">
        <v>136</v>
      </c>
      <c r="B1009" t="s">
        <v>464</v>
      </c>
      <c r="C1009">
        <v>82157</v>
      </c>
      <c r="D1009">
        <v>62.93</v>
      </c>
      <c r="E1009" s="9">
        <v>42880</v>
      </c>
    </row>
    <row r="1010" spans="1:5" x14ac:dyDescent="0.45">
      <c r="A1010" t="s">
        <v>136</v>
      </c>
      <c r="B1010" t="s">
        <v>464</v>
      </c>
      <c r="C1010">
        <v>77892</v>
      </c>
      <c r="D1010">
        <v>148.4</v>
      </c>
      <c r="E1010" s="9">
        <v>42837</v>
      </c>
    </row>
    <row r="1011" spans="1:5" x14ac:dyDescent="0.45">
      <c r="A1011" t="s">
        <v>136</v>
      </c>
      <c r="B1011" t="s">
        <v>464</v>
      </c>
      <c r="C1011">
        <v>73318</v>
      </c>
      <c r="D1011">
        <v>107.07</v>
      </c>
      <c r="E1011" s="9">
        <v>42795</v>
      </c>
    </row>
    <row r="1012" spans="1:5" x14ac:dyDescent="0.45">
      <c r="A1012" t="s">
        <v>136</v>
      </c>
      <c r="B1012" t="s">
        <v>464</v>
      </c>
      <c r="C1012">
        <v>72820</v>
      </c>
      <c r="D1012">
        <v>400</v>
      </c>
      <c r="E1012" s="9">
        <v>42789</v>
      </c>
    </row>
    <row r="1013" spans="1:5" x14ac:dyDescent="0.45">
      <c r="A1013" t="s">
        <v>136</v>
      </c>
      <c r="B1013" t="s">
        <v>464</v>
      </c>
      <c r="C1013">
        <v>65755</v>
      </c>
      <c r="D1013">
        <v>80</v>
      </c>
      <c r="E1013" s="9">
        <v>42723</v>
      </c>
    </row>
    <row r="1014" spans="1:5" x14ac:dyDescent="0.45">
      <c r="A1014" t="s">
        <v>136</v>
      </c>
      <c r="B1014" t="s">
        <v>464</v>
      </c>
      <c r="C1014">
        <v>57854</v>
      </c>
      <c r="D1014">
        <v>80</v>
      </c>
      <c r="E1014" s="9">
        <v>42671</v>
      </c>
    </row>
    <row r="1015" spans="1:5" x14ac:dyDescent="0.45">
      <c r="A1015" t="s">
        <v>136</v>
      </c>
      <c r="B1015" t="s">
        <v>464</v>
      </c>
      <c r="C1015">
        <v>48942</v>
      </c>
      <c r="D1015">
        <v>125</v>
      </c>
      <c r="E1015" s="9">
        <v>42550</v>
      </c>
    </row>
    <row r="1016" spans="1:5" x14ac:dyDescent="0.45">
      <c r="A1016" t="s">
        <v>136</v>
      </c>
      <c r="B1016" t="s">
        <v>464</v>
      </c>
      <c r="C1016">
        <v>39075</v>
      </c>
      <c r="D1016">
        <v>125</v>
      </c>
      <c r="E1016" s="9">
        <v>42430</v>
      </c>
    </row>
    <row r="1017" spans="1:5" x14ac:dyDescent="0.45">
      <c r="A1017" t="s">
        <v>136</v>
      </c>
      <c r="B1017" t="s">
        <v>464</v>
      </c>
      <c r="C1017">
        <v>29286</v>
      </c>
      <c r="D1017">
        <v>80</v>
      </c>
      <c r="E1017" s="9">
        <v>42307</v>
      </c>
    </row>
    <row r="1018" spans="1:5" x14ac:dyDescent="0.45">
      <c r="A1018" t="s">
        <v>136</v>
      </c>
      <c r="B1018" t="s">
        <v>464</v>
      </c>
      <c r="C1018">
        <v>19235</v>
      </c>
      <c r="D1018">
        <v>47.54</v>
      </c>
      <c r="E1018" s="9">
        <v>42215</v>
      </c>
    </row>
    <row r="1019" spans="1:5" x14ac:dyDescent="0.45">
      <c r="A1019" t="s">
        <v>136</v>
      </c>
      <c r="B1019" t="s">
        <v>464</v>
      </c>
      <c r="C1019">
        <v>8822</v>
      </c>
      <c r="D1019">
        <v>47.54</v>
      </c>
      <c r="E1019" s="9">
        <v>42094</v>
      </c>
    </row>
    <row r="1020" spans="1:5" x14ac:dyDescent="0.45">
      <c r="A1020" t="s">
        <v>136</v>
      </c>
      <c r="B1020" t="s">
        <v>464</v>
      </c>
      <c r="C1020">
        <v>0</v>
      </c>
      <c r="D1020">
        <v>125</v>
      </c>
      <c r="E1020" s="9">
        <v>42005</v>
      </c>
    </row>
    <row r="1021" spans="1:5" x14ac:dyDescent="0.45">
      <c r="A1021" t="s">
        <v>137</v>
      </c>
      <c r="B1021" t="s">
        <v>467</v>
      </c>
      <c r="C1021">
        <v>187457</v>
      </c>
      <c r="D1021">
        <v>47.4</v>
      </c>
      <c r="E1021" s="9">
        <v>44168</v>
      </c>
    </row>
    <row r="1022" spans="1:5" x14ac:dyDescent="0.45">
      <c r="A1022" t="s">
        <v>137</v>
      </c>
      <c r="B1022" t="s">
        <v>467</v>
      </c>
      <c r="C1022">
        <v>180950</v>
      </c>
      <c r="D1022">
        <v>105.02</v>
      </c>
      <c r="E1022" s="9">
        <v>43888</v>
      </c>
    </row>
    <row r="1023" spans="1:5" x14ac:dyDescent="0.45">
      <c r="A1023" t="s">
        <v>137</v>
      </c>
      <c r="B1023" t="s">
        <v>467</v>
      </c>
      <c r="C1023">
        <v>1</v>
      </c>
      <c r="D1023">
        <v>143.74</v>
      </c>
      <c r="E1023" s="9">
        <v>43838</v>
      </c>
    </row>
    <row r="1024" spans="1:5" x14ac:dyDescent="0.45">
      <c r="A1024" t="s">
        <v>137</v>
      </c>
      <c r="B1024" t="s">
        <v>467</v>
      </c>
      <c r="C1024">
        <v>174559</v>
      </c>
      <c r="D1024">
        <v>695.89</v>
      </c>
      <c r="E1024" s="9">
        <v>43804</v>
      </c>
    </row>
    <row r="1025" spans="1:5" x14ac:dyDescent="0.45">
      <c r="A1025" t="s">
        <v>137</v>
      </c>
      <c r="B1025" t="s">
        <v>467</v>
      </c>
      <c r="C1025">
        <v>0</v>
      </c>
      <c r="D1025">
        <v>300</v>
      </c>
      <c r="E1025" s="9">
        <v>43767</v>
      </c>
    </row>
    <row r="1026" spans="1:5" x14ac:dyDescent="0.45">
      <c r="A1026" t="s">
        <v>137</v>
      </c>
      <c r="B1026" t="s">
        <v>467</v>
      </c>
      <c r="C1026">
        <v>163649</v>
      </c>
      <c r="D1026">
        <v>1622.43</v>
      </c>
      <c r="E1026" s="9">
        <v>43551</v>
      </c>
    </row>
    <row r="1027" spans="1:5" x14ac:dyDescent="0.45">
      <c r="A1027" t="s">
        <v>137</v>
      </c>
      <c r="B1027" t="s">
        <v>467</v>
      </c>
      <c r="C1027">
        <v>157452</v>
      </c>
      <c r="D1027">
        <v>2474.5100000000002</v>
      </c>
      <c r="E1027" s="9">
        <v>43508</v>
      </c>
    </row>
    <row r="1028" spans="1:5" x14ac:dyDescent="0.45">
      <c r="A1028" t="s">
        <v>137</v>
      </c>
      <c r="B1028" t="s">
        <v>467</v>
      </c>
      <c r="C1028">
        <v>154863</v>
      </c>
      <c r="D1028">
        <v>70.819999999999993</v>
      </c>
      <c r="E1028" s="9">
        <v>43432</v>
      </c>
    </row>
    <row r="1029" spans="1:5" x14ac:dyDescent="0.45">
      <c r="A1029" t="s">
        <v>137</v>
      </c>
      <c r="B1029" t="s">
        <v>467</v>
      </c>
      <c r="C1029">
        <v>148406</v>
      </c>
      <c r="D1029">
        <v>80</v>
      </c>
      <c r="E1029" s="9">
        <v>43348</v>
      </c>
    </row>
    <row r="1030" spans="1:5" x14ac:dyDescent="0.45">
      <c r="A1030" t="s">
        <v>137</v>
      </c>
      <c r="B1030" t="s">
        <v>467</v>
      </c>
      <c r="C1030">
        <v>142261</v>
      </c>
      <c r="D1030">
        <v>328.79</v>
      </c>
      <c r="E1030" s="9">
        <v>43269</v>
      </c>
    </row>
    <row r="1031" spans="1:5" x14ac:dyDescent="0.45">
      <c r="A1031" t="s">
        <v>137</v>
      </c>
      <c r="B1031" t="s">
        <v>467</v>
      </c>
      <c r="C1031">
        <v>0</v>
      </c>
      <c r="D1031">
        <v>180</v>
      </c>
      <c r="E1031" s="9">
        <v>43201</v>
      </c>
    </row>
    <row r="1032" spans="1:5" x14ac:dyDescent="0.45">
      <c r="A1032" t="s">
        <v>137</v>
      </c>
      <c r="B1032" t="s">
        <v>467</v>
      </c>
      <c r="C1032">
        <v>135482</v>
      </c>
      <c r="D1032">
        <v>0</v>
      </c>
      <c r="E1032" s="9">
        <v>43174</v>
      </c>
    </row>
    <row r="1033" spans="1:5" x14ac:dyDescent="0.45">
      <c r="A1033" t="s">
        <v>137</v>
      </c>
      <c r="B1033" t="s">
        <v>467</v>
      </c>
      <c r="C1033">
        <v>135361</v>
      </c>
      <c r="D1033">
        <v>2095.96</v>
      </c>
      <c r="E1033" s="9">
        <v>43165</v>
      </c>
    </row>
    <row r="1034" spans="1:5" x14ac:dyDescent="0.45">
      <c r="A1034" t="s">
        <v>137</v>
      </c>
      <c r="B1034" t="s">
        <v>467</v>
      </c>
      <c r="C1034">
        <v>134234</v>
      </c>
      <c r="D1034">
        <v>86.35</v>
      </c>
      <c r="E1034" s="9">
        <v>43147</v>
      </c>
    </row>
    <row r="1035" spans="1:5" x14ac:dyDescent="0.45">
      <c r="A1035" t="s">
        <v>137</v>
      </c>
      <c r="B1035" t="s">
        <v>467</v>
      </c>
      <c r="C1035">
        <v>126546</v>
      </c>
      <c r="D1035">
        <v>80</v>
      </c>
      <c r="E1035" s="9">
        <v>43061</v>
      </c>
    </row>
    <row r="1036" spans="1:5" x14ac:dyDescent="0.45">
      <c r="A1036" t="s">
        <v>137</v>
      </c>
      <c r="B1036" t="s">
        <v>467</v>
      </c>
      <c r="C1036">
        <v>122019</v>
      </c>
      <c r="D1036">
        <v>74.599999999999994</v>
      </c>
      <c r="E1036" s="9">
        <v>43010</v>
      </c>
    </row>
    <row r="1037" spans="1:5" x14ac:dyDescent="0.45">
      <c r="A1037" t="s">
        <v>137</v>
      </c>
      <c r="B1037" t="s">
        <v>467</v>
      </c>
      <c r="C1037">
        <v>104354</v>
      </c>
      <c r="D1037">
        <v>102.66</v>
      </c>
      <c r="E1037" s="9">
        <v>42826</v>
      </c>
    </row>
    <row r="1038" spans="1:5" x14ac:dyDescent="0.45">
      <c r="A1038" t="s">
        <v>137</v>
      </c>
      <c r="B1038" t="s">
        <v>467</v>
      </c>
      <c r="C1038">
        <v>100213</v>
      </c>
      <c r="D1038">
        <v>102.66</v>
      </c>
      <c r="E1038" s="9">
        <v>42796</v>
      </c>
    </row>
    <row r="1039" spans="1:5" x14ac:dyDescent="0.45">
      <c r="A1039" t="s">
        <v>137</v>
      </c>
      <c r="B1039" t="s">
        <v>467</v>
      </c>
      <c r="C1039">
        <v>99920</v>
      </c>
      <c r="D1039">
        <v>500</v>
      </c>
      <c r="E1039" s="9">
        <v>42795</v>
      </c>
    </row>
    <row r="1040" spans="1:5" x14ac:dyDescent="0.45">
      <c r="A1040" t="s">
        <v>137</v>
      </c>
      <c r="B1040" t="s">
        <v>467</v>
      </c>
      <c r="C1040">
        <v>96036</v>
      </c>
      <c r="D1040">
        <v>98.06</v>
      </c>
      <c r="E1040" s="9">
        <v>42758</v>
      </c>
    </row>
    <row r="1041" spans="1:5" x14ac:dyDescent="0.45">
      <c r="A1041" t="s">
        <v>137</v>
      </c>
      <c r="B1041" t="s">
        <v>467</v>
      </c>
      <c r="C1041">
        <v>87810</v>
      </c>
      <c r="D1041">
        <v>0</v>
      </c>
      <c r="E1041" s="9">
        <v>42681</v>
      </c>
    </row>
    <row r="1042" spans="1:5" x14ac:dyDescent="0.45">
      <c r="A1042" t="s">
        <v>137</v>
      </c>
      <c r="B1042" t="s">
        <v>467</v>
      </c>
      <c r="C1042">
        <v>78285</v>
      </c>
      <c r="D1042">
        <v>80</v>
      </c>
      <c r="E1042" s="9">
        <v>42613</v>
      </c>
    </row>
    <row r="1043" spans="1:5" x14ac:dyDescent="0.45">
      <c r="A1043" t="s">
        <v>137</v>
      </c>
      <c r="B1043" t="s">
        <v>467</v>
      </c>
      <c r="C1043">
        <v>68597</v>
      </c>
      <c r="D1043">
        <v>125</v>
      </c>
      <c r="E1043" s="9">
        <v>42524</v>
      </c>
    </row>
    <row r="1044" spans="1:5" x14ac:dyDescent="0.45">
      <c r="A1044" t="s">
        <v>137</v>
      </c>
      <c r="B1044" t="s">
        <v>467</v>
      </c>
      <c r="C1044">
        <v>58150</v>
      </c>
      <c r="D1044">
        <v>80</v>
      </c>
      <c r="E1044" s="9">
        <v>42450</v>
      </c>
    </row>
    <row r="1045" spans="1:5" x14ac:dyDescent="0.45">
      <c r="A1045" t="s">
        <v>137</v>
      </c>
      <c r="B1045" t="s">
        <v>467</v>
      </c>
      <c r="C1045">
        <v>53843</v>
      </c>
      <c r="D1045">
        <v>0</v>
      </c>
      <c r="E1045" s="9">
        <v>42431</v>
      </c>
    </row>
    <row r="1046" spans="1:5" x14ac:dyDescent="0.45">
      <c r="A1046" t="s">
        <v>137</v>
      </c>
      <c r="B1046" t="s">
        <v>467</v>
      </c>
      <c r="C1046">
        <v>29658</v>
      </c>
      <c r="D1046">
        <v>159.87</v>
      </c>
      <c r="E1046" s="9">
        <v>42230</v>
      </c>
    </row>
    <row r="1047" spans="1:5" x14ac:dyDescent="0.45">
      <c r="A1047" t="s">
        <v>137</v>
      </c>
      <c r="B1047" t="s">
        <v>467</v>
      </c>
      <c r="C1047">
        <v>0</v>
      </c>
      <c r="D1047">
        <v>125</v>
      </c>
      <c r="E1047" s="9">
        <v>42005</v>
      </c>
    </row>
    <row r="1048" spans="1:5" x14ac:dyDescent="0.45">
      <c r="A1048" t="s">
        <v>138</v>
      </c>
      <c r="B1048" t="s">
        <v>573</v>
      </c>
      <c r="C1048">
        <v>69589</v>
      </c>
      <c r="D1048">
        <v>105.02</v>
      </c>
      <c r="E1048" s="9">
        <v>44168</v>
      </c>
    </row>
    <row r="1049" spans="1:5" x14ac:dyDescent="0.45">
      <c r="A1049" t="s">
        <v>138</v>
      </c>
      <c r="B1049" t="s">
        <v>573</v>
      </c>
      <c r="C1049">
        <v>59472</v>
      </c>
      <c r="D1049">
        <v>105.02</v>
      </c>
      <c r="E1049" s="9">
        <v>44068</v>
      </c>
    </row>
    <row r="1050" spans="1:5" x14ac:dyDescent="0.45">
      <c r="A1050" t="s">
        <v>138</v>
      </c>
      <c r="B1050" t="s">
        <v>573</v>
      </c>
      <c r="C1050">
        <v>52565</v>
      </c>
      <c r="D1050">
        <v>105.02</v>
      </c>
      <c r="E1050" s="9">
        <v>43997</v>
      </c>
    </row>
    <row r="1051" spans="1:5" x14ac:dyDescent="0.45">
      <c r="A1051" t="s">
        <v>138</v>
      </c>
      <c r="B1051" t="s">
        <v>573</v>
      </c>
      <c r="C1051">
        <v>47679</v>
      </c>
      <c r="D1051">
        <v>158</v>
      </c>
      <c r="E1051" s="9">
        <v>43969</v>
      </c>
    </row>
    <row r="1052" spans="1:5" x14ac:dyDescent="0.45">
      <c r="A1052" t="s">
        <v>138</v>
      </c>
      <c r="B1052" t="s">
        <v>573</v>
      </c>
      <c r="C1052">
        <v>45554</v>
      </c>
      <c r="D1052">
        <v>1003.16</v>
      </c>
      <c r="E1052" s="9">
        <v>43932</v>
      </c>
    </row>
    <row r="1053" spans="1:5" x14ac:dyDescent="0.45">
      <c r="A1053" t="s">
        <v>138</v>
      </c>
      <c r="B1053" t="s">
        <v>573</v>
      </c>
      <c r="C1053">
        <v>41958</v>
      </c>
      <c r="D1053">
        <v>125</v>
      </c>
      <c r="E1053" s="9">
        <v>43895</v>
      </c>
    </row>
    <row r="1054" spans="1:5" x14ac:dyDescent="0.45">
      <c r="A1054" t="s">
        <v>138</v>
      </c>
      <c r="B1054" t="s">
        <v>573</v>
      </c>
      <c r="C1054">
        <v>42308</v>
      </c>
      <c r="D1054">
        <v>131.51</v>
      </c>
      <c r="E1054" s="9">
        <v>43889</v>
      </c>
    </row>
    <row r="1055" spans="1:5" x14ac:dyDescent="0.45">
      <c r="A1055" t="s">
        <v>138</v>
      </c>
      <c r="B1055" t="s">
        <v>573</v>
      </c>
      <c r="C1055">
        <v>38724</v>
      </c>
      <c r="D1055">
        <v>89.26</v>
      </c>
      <c r="E1055" s="9">
        <v>43851</v>
      </c>
    </row>
    <row r="1056" spans="1:5" x14ac:dyDescent="0.45">
      <c r="A1056" t="s">
        <v>138</v>
      </c>
      <c r="B1056" t="s">
        <v>573</v>
      </c>
      <c r="C1056">
        <v>34090</v>
      </c>
      <c r="D1056">
        <v>156.94</v>
      </c>
      <c r="E1056" s="9">
        <v>43803</v>
      </c>
    </row>
    <row r="1057" spans="1:5" x14ac:dyDescent="0.45">
      <c r="A1057" t="s">
        <v>138</v>
      </c>
      <c r="B1057" t="s">
        <v>573</v>
      </c>
      <c r="C1057">
        <v>0</v>
      </c>
      <c r="D1057">
        <v>206.09</v>
      </c>
      <c r="E1057" s="9">
        <v>43769</v>
      </c>
    </row>
    <row r="1058" spans="1:5" x14ac:dyDescent="0.45">
      <c r="A1058" t="s">
        <v>138</v>
      </c>
      <c r="B1058" t="s">
        <v>573</v>
      </c>
      <c r="C1058">
        <v>27873</v>
      </c>
      <c r="D1058">
        <v>88.36</v>
      </c>
      <c r="E1058" s="9">
        <v>43745</v>
      </c>
    </row>
    <row r="1059" spans="1:5" x14ac:dyDescent="0.45">
      <c r="A1059" t="s">
        <v>138</v>
      </c>
      <c r="B1059" t="s">
        <v>573</v>
      </c>
      <c r="C1059">
        <v>22252</v>
      </c>
      <c r="D1059">
        <v>103.96</v>
      </c>
      <c r="E1059" s="9">
        <v>43684</v>
      </c>
    </row>
    <row r="1060" spans="1:5" x14ac:dyDescent="0.45">
      <c r="A1060" t="s">
        <v>138</v>
      </c>
      <c r="B1060" t="s">
        <v>573</v>
      </c>
      <c r="C1060">
        <v>14707</v>
      </c>
      <c r="D1060">
        <v>103.96</v>
      </c>
      <c r="E1060" s="9">
        <v>43627</v>
      </c>
    </row>
    <row r="1061" spans="1:5" x14ac:dyDescent="0.45">
      <c r="A1061" t="s">
        <v>138</v>
      </c>
      <c r="B1061" t="s">
        <v>573</v>
      </c>
      <c r="C1061">
        <v>11032</v>
      </c>
      <c r="D1061">
        <v>130.44999999999999</v>
      </c>
      <c r="E1061" s="9">
        <v>43591</v>
      </c>
    </row>
    <row r="1062" spans="1:5" x14ac:dyDescent="0.45">
      <c r="A1062" t="s">
        <v>138</v>
      </c>
      <c r="B1062" t="s">
        <v>573</v>
      </c>
      <c r="C1062">
        <v>5972</v>
      </c>
      <c r="D1062">
        <v>0</v>
      </c>
      <c r="E1062" s="9">
        <v>43550</v>
      </c>
    </row>
    <row r="1063" spans="1:5" x14ac:dyDescent="0.45">
      <c r="A1063" t="s">
        <v>138</v>
      </c>
      <c r="B1063" t="s">
        <v>573</v>
      </c>
      <c r="C1063">
        <v>5270</v>
      </c>
      <c r="D1063">
        <v>88.36</v>
      </c>
      <c r="E1063" s="9">
        <v>43542</v>
      </c>
    </row>
    <row r="1064" spans="1:5" x14ac:dyDescent="0.45">
      <c r="A1064" t="s">
        <v>139</v>
      </c>
      <c r="B1064" t="s">
        <v>578</v>
      </c>
      <c r="C1064">
        <v>25392</v>
      </c>
      <c r="D1064">
        <v>0</v>
      </c>
      <c r="E1064" s="9">
        <v>44130</v>
      </c>
    </row>
    <row r="1065" spans="1:5" x14ac:dyDescent="0.45">
      <c r="A1065" t="s">
        <v>139</v>
      </c>
      <c r="B1065" t="s">
        <v>578</v>
      </c>
      <c r="C1065">
        <v>5244</v>
      </c>
      <c r="D1065">
        <v>76.400000000000006</v>
      </c>
      <c r="E1065" s="9">
        <v>43855</v>
      </c>
    </row>
    <row r="1066" spans="1:5" x14ac:dyDescent="0.45">
      <c r="A1066" t="s">
        <v>139</v>
      </c>
      <c r="B1066" t="s">
        <v>578</v>
      </c>
      <c r="C1066">
        <v>11335</v>
      </c>
      <c r="D1066">
        <v>76.400000000000006</v>
      </c>
      <c r="E1066" s="17">
        <v>43952</v>
      </c>
    </row>
    <row r="1067" spans="1:5" x14ac:dyDescent="0.45">
      <c r="A1067" t="s">
        <v>139</v>
      </c>
      <c r="B1067" t="s">
        <v>578</v>
      </c>
      <c r="C1067">
        <v>25392</v>
      </c>
      <c r="D1067">
        <v>79.58</v>
      </c>
      <c r="E1067" s="17">
        <v>44130</v>
      </c>
    </row>
    <row r="1068" spans="1:5" x14ac:dyDescent="0.45">
      <c r="A1068" t="s">
        <v>140</v>
      </c>
      <c r="B1068" t="s">
        <v>582</v>
      </c>
      <c r="C1068">
        <v>12</v>
      </c>
      <c r="E1068" s="9">
        <v>43696</v>
      </c>
    </row>
    <row r="1069" spans="1:5" x14ac:dyDescent="0.45">
      <c r="A1069" t="s">
        <v>140</v>
      </c>
      <c r="B1069" t="s">
        <v>582</v>
      </c>
      <c r="C1069" s="14">
        <v>13000</v>
      </c>
      <c r="E1069" s="9">
        <v>43726</v>
      </c>
    </row>
    <row r="1070" spans="1:5" x14ac:dyDescent="0.45">
      <c r="A1070" t="s">
        <v>140</v>
      </c>
      <c r="B1070" t="s">
        <v>582</v>
      </c>
      <c r="C1070" s="15">
        <v>26540</v>
      </c>
      <c r="D1070">
        <v>79.989999999999995</v>
      </c>
      <c r="E1070" s="9">
        <v>44158</v>
      </c>
    </row>
    <row r="1071" spans="1:5" x14ac:dyDescent="0.45">
      <c r="A1071" t="s">
        <v>141</v>
      </c>
      <c r="C1071">
        <v>7</v>
      </c>
      <c r="E1071" s="9">
        <v>43689</v>
      </c>
    </row>
    <row r="1072" spans="1:5" x14ac:dyDescent="0.45">
      <c r="A1072" t="s">
        <v>141</v>
      </c>
      <c r="C1072" s="15">
        <v>10102</v>
      </c>
      <c r="D1072">
        <v>80</v>
      </c>
      <c r="E1072" s="9">
        <v>43979</v>
      </c>
    </row>
    <row r="1073" spans="1:5" x14ac:dyDescent="0.45">
      <c r="A1073" t="s">
        <v>141</v>
      </c>
      <c r="C1073" s="15">
        <v>20491</v>
      </c>
      <c r="D1073">
        <v>80</v>
      </c>
      <c r="E1073" s="9">
        <v>44105</v>
      </c>
    </row>
    <row r="1074" spans="1:5" x14ac:dyDescent="0.45">
      <c r="A1074" t="s">
        <v>141</v>
      </c>
      <c r="C1074" s="15">
        <v>27448</v>
      </c>
      <c r="D1074">
        <v>80</v>
      </c>
      <c r="E1074" s="9">
        <v>44183</v>
      </c>
    </row>
    <row r="1084" spans="1:5" x14ac:dyDescent="0.45">
      <c r="C1084" s="14"/>
    </row>
    <row r="1086" spans="1:5" x14ac:dyDescent="0.45">
      <c r="C1086" s="14"/>
    </row>
    <row r="1094" spans="1:5" x14ac:dyDescent="0.45">
      <c r="C1094" s="14"/>
    </row>
    <row r="1101" spans="1:5" x14ac:dyDescent="0.45">
      <c r="A1101" t="s">
        <v>142</v>
      </c>
      <c r="C1101">
        <v>15</v>
      </c>
      <c r="E1101" s="9">
        <v>43827</v>
      </c>
    </row>
    <row r="1102" spans="1:5" x14ac:dyDescent="0.45">
      <c r="A1102" t="s">
        <v>142</v>
      </c>
      <c r="C1102" s="15">
        <v>4162</v>
      </c>
      <c r="D1102">
        <v>80</v>
      </c>
      <c r="E1102" s="9">
        <v>43890</v>
      </c>
    </row>
    <row r="1103" spans="1:5" x14ac:dyDescent="0.45">
      <c r="A1103" t="s">
        <v>142</v>
      </c>
      <c r="C1103" s="15">
        <v>8463</v>
      </c>
      <c r="D1103">
        <v>80</v>
      </c>
      <c r="E1103" s="9">
        <v>43991</v>
      </c>
    </row>
    <row r="1104" spans="1:5" x14ac:dyDescent="0.45">
      <c r="A1104" t="s">
        <v>142</v>
      </c>
      <c r="C1104" s="15">
        <v>13325</v>
      </c>
      <c r="D1104">
        <v>80</v>
      </c>
      <c r="E1104" s="9">
        <v>44036</v>
      </c>
    </row>
    <row r="1105" spans="1:5" x14ac:dyDescent="0.45">
      <c r="A1105" t="s">
        <v>142</v>
      </c>
      <c r="C1105" s="15">
        <v>18293</v>
      </c>
      <c r="D1105">
        <v>80</v>
      </c>
      <c r="E1105" s="9">
        <v>44090</v>
      </c>
    </row>
    <row r="1106" spans="1:5" x14ac:dyDescent="0.45">
      <c r="C1106" s="14"/>
    </row>
    <row r="1111" spans="1:5" x14ac:dyDescent="0.45">
      <c r="C1111" s="14"/>
    </row>
    <row r="1113" spans="1:5" x14ac:dyDescent="0.45">
      <c r="C1113" s="14"/>
    </row>
    <row r="1118" spans="1:5" x14ac:dyDescent="0.45">
      <c r="C1118" s="14"/>
    </row>
    <row r="1119" spans="1:5" x14ac:dyDescent="0.45">
      <c r="C1119" s="14"/>
    </row>
    <row r="1126" spans="1:8" x14ac:dyDescent="0.45">
      <c r="A1126" s="14"/>
      <c r="B1126" s="14"/>
      <c r="C1126" s="14"/>
      <c r="D1126" s="14"/>
      <c r="E1126" s="17"/>
    </row>
    <row r="1127" spans="1:8" x14ac:dyDescent="0.45">
      <c r="C1127" s="14"/>
    </row>
    <row r="1128" spans="1:8" x14ac:dyDescent="0.45">
      <c r="C1128" s="14"/>
    </row>
    <row r="1129" spans="1:8" x14ac:dyDescent="0.45">
      <c r="A1129" t="s">
        <v>143</v>
      </c>
      <c r="B1129" t="s">
        <v>625</v>
      </c>
      <c r="C1129" s="4">
        <v>3</v>
      </c>
      <c r="D1129" s="12"/>
      <c r="E1129" s="9">
        <v>43910</v>
      </c>
      <c r="G1129" s="4"/>
      <c r="H1129" s="4"/>
    </row>
    <row r="1130" spans="1:8" x14ac:dyDescent="0.45">
      <c r="A1130" t="s">
        <v>143</v>
      </c>
      <c r="B1130" t="s">
        <v>625</v>
      </c>
      <c r="C1130" s="42">
        <v>500</v>
      </c>
      <c r="D1130" s="12"/>
      <c r="E1130" s="9">
        <v>44040</v>
      </c>
      <c r="G1130" s="2"/>
      <c r="H1130" s="2"/>
    </row>
    <row r="1131" spans="1:8" x14ac:dyDescent="0.45">
      <c r="A1131" t="s">
        <v>143</v>
      </c>
      <c r="B1131" t="s">
        <v>625</v>
      </c>
      <c r="C1131" s="4">
        <v>927</v>
      </c>
      <c r="D1131" s="12">
        <v>205</v>
      </c>
      <c r="E1131" s="9">
        <v>44140</v>
      </c>
      <c r="G1131" s="4"/>
      <c r="H1131" s="4"/>
    </row>
    <row r="1132" spans="1:8" x14ac:dyDescent="0.45">
      <c r="A1132" t="s">
        <v>143</v>
      </c>
      <c r="B1132" t="s">
        <v>625</v>
      </c>
      <c r="C1132" s="2">
        <v>1996</v>
      </c>
      <c r="D1132" s="12">
        <v>18.5</v>
      </c>
      <c r="E1132" s="9">
        <v>44175</v>
      </c>
      <c r="G1132" s="2"/>
      <c r="H1132" s="2"/>
    </row>
    <row r="1133" spans="1:8" x14ac:dyDescent="0.45">
      <c r="A1133" t="s">
        <v>143</v>
      </c>
      <c r="B1133" t="s">
        <v>625</v>
      </c>
      <c r="C1133" s="4">
        <v>3948</v>
      </c>
      <c r="D1133" s="12">
        <v>20</v>
      </c>
      <c r="E1133" s="9">
        <v>44198</v>
      </c>
      <c r="G1133" s="4"/>
      <c r="H1133" s="4"/>
    </row>
    <row r="1134" spans="1:8" x14ac:dyDescent="0.45">
      <c r="A1134" t="s">
        <v>143</v>
      </c>
      <c r="B1134" t="s">
        <v>625</v>
      </c>
      <c r="C1134" s="2">
        <v>6123</v>
      </c>
      <c r="D1134" s="12">
        <v>125</v>
      </c>
      <c r="E1134" s="9">
        <v>44224</v>
      </c>
      <c r="G1134" s="2"/>
      <c r="H1134" s="2"/>
    </row>
    <row r="1135" spans="1:8" x14ac:dyDescent="0.45">
      <c r="A1135" t="s">
        <v>145</v>
      </c>
      <c r="B1135" t="s">
        <v>500</v>
      </c>
      <c r="C1135">
        <v>82683</v>
      </c>
      <c r="D1135">
        <v>100</v>
      </c>
      <c r="E1135" s="9">
        <v>43670</v>
      </c>
    </row>
    <row r="1136" spans="1:8" x14ac:dyDescent="0.45">
      <c r="A1136" t="s">
        <v>145</v>
      </c>
      <c r="B1136" t="s">
        <v>500</v>
      </c>
      <c r="C1136">
        <v>75525</v>
      </c>
      <c r="D1136">
        <v>100</v>
      </c>
      <c r="E1136" s="9">
        <v>43503</v>
      </c>
    </row>
    <row r="1137" spans="1:5" x14ac:dyDescent="0.45">
      <c r="A1137" t="s">
        <v>145</v>
      </c>
      <c r="B1137" t="s">
        <v>500</v>
      </c>
      <c r="C1137">
        <v>75032</v>
      </c>
      <c r="D1137">
        <v>125</v>
      </c>
      <c r="E1137" s="9">
        <v>43489</v>
      </c>
    </row>
    <row r="1138" spans="1:5" x14ac:dyDescent="0.45">
      <c r="A1138" t="s">
        <v>145</v>
      </c>
      <c r="B1138" t="s">
        <v>500</v>
      </c>
      <c r="C1138">
        <v>75032</v>
      </c>
      <c r="D1138">
        <v>100</v>
      </c>
      <c r="E1138" s="9">
        <v>43489</v>
      </c>
    </row>
    <row r="1139" spans="1:5" x14ac:dyDescent="0.45">
      <c r="A1139" t="s">
        <v>145</v>
      </c>
      <c r="B1139" t="s">
        <v>500</v>
      </c>
      <c r="C1139">
        <v>67133</v>
      </c>
      <c r="D1139">
        <v>63.13</v>
      </c>
      <c r="E1139" s="9">
        <v>43300</v>
      </c>
    </row>
    <row r="1140" spans="1:5" x14ac:dyDescent="0.45">
      <c r="A1140" t="s">
        <v>145</v>
      </c>
      <c r="B1140" t="s">
        <v>500</v>
      </c>
      <c r="C1140">
        <v>61150</v>
      </c>
      <c r="D1140">
        <v>80</v>
      </c>
      <c r="E1140" s="9">
        <v>43230</v>
      </c>
    </row>
    <row r="1141" spans="1:5" x14ac:dyDescent="0.45">
      <c r="A1141" t="s">
        <v>145</v>
      </c>
      <c r="B1141" t="s">
        <v>500</v>
      </c>
      <c r="C1141">
        <v>58746</v>
      </c>
      <c r="D1141">
        <v>2484.77</v>
      </c>
      <c r="E1141" s="9">
        <v>43203</v>
      </c>
    </row>
    <row r="1142" spans="1:5" x14ac:dyDescent="0.45">
      <c r="A1142" t="s">
        <v>145</v>
      </c>
      <c r="B1142" t="s">
        <v>500</v>
      </c>
      <c r="C1142">
        <v>56298</v>
      </c>
      <c r="D1142">
        <v>100</v>
      </c>
      <c r="E1142" s="9">
        <v>43174</v>
      </c>
    </row>
    <row r="1143" spans="1:5" x14ac:dyDescent="0.45">
      <c r="A1143" t="s">
        <v>145</v>
      </c>
      <c r="B1143" t="s">
        <v>500</v>
      </c>
      <c r="C1143">
        <v>56158</v>
      </c>
      <c r="D1143">
        <v>2140.89</v>
      </c>
      <c r="E1143" s="9">
        <v>43132</v>
      </c>
    </row>
    <row r="1144" spans="1:5" x14ac:dyDescent="0.45">
      <c r="A1144" t="s">
        <v>145</v>
      </c>
      <c r="B1144" t="s">
        <v>500</v>
      </c>
      <c r="C1144">
        <v>56158</v>
      </c>
      <c r="D1144">
        <v>2140.89</v>
      </c>
      <c r="E1144" s="9">
        <v>43132</v>
      </c>
    </row>
    <row r="1145" spans="1:5" x14ac:dyDescent="0.45">
      <c r="A1145" t="s">
        <v>145</v>
      </c>
      <c r="B1145" t="s">
        <v>500</v>
      </c>
      <c r="C1145">
        <v>53682</v>
      </c>
      <c r="D1145">
        <v>250</v>
      </c>
      <c r="E1145" s="9">
        <v>42787</v>
      </c>
    </row>
    <row r="1146" spans="1:5" x14ac:dyDescent="0.45">
      <c r="A1146" t="s">
        <v>145</v>
      </c>
      <c r="B1146" t="s">
        <v>500</v>
      </c>
      <c r="C1146">
        <v>41717</v>
      </c>
      <c r="D1146">
        <v>125</v>
      </c>
      <c r="E1146" s="9">
        <v>42292</v>
      </c>
    </row>
    <row r="1147" spans="1:5" x14ac:dyDescent="0.45">
      <c r="A1147" t="s">
        <v>145</v>
      </c>
      <c r="B1147" t="s">
        <v>500</v>
      </c>
      <c r="C1147">
        <v>0</v>
      </c>
      <c r="D1147">
        <v>100</v>
      </c>
      <c r="E1147" s="9">
        <v>42171</v>
      </c>
    </row>
    <row r="1148" spans="1:5" x14ac:dyDescent="0.45">
      <c r="A1148" t="s">
        <v>145</v>
      </c>
      <c r="B1148" t="s">
        <v>500</v>
      </c>
      <c r="C1148">
        <v>37350</v>
      </c>
      <c r="D1148">
        <v>100</v>
      </c>
      <c r="E1148" s="9">
        <v>42153</v>
      </c>
    </row>
    <row r="1149" spans="1:5" x14ac:dyDescent="0.45">
      <c r="A1149" t="s">
        <v>145</v>
      </c>
      <c r="B1149" t="s">
        <v>500</v>
      </c>
      <c r="C1149">
        <v>29324</v>
      </c>
      <c r="D1149">
        <v>62.03</v>
      </c>
      <c r="E1149" s="9">
        <v>42035</v>
      </c>
    </row>
    <row r="1150" spans="1:5" x14ac:dyDescent="0.45">
      <c r="A1150" t="s">
        <v>145</v>
      </c>
      <c r="B1150" t="s">
        <v>500</v>
      </c>
      <c r="C1150">
        <v>0</v>
      </c>
      <c r="D1150">
        <v>125</v>
      </c>
      <c r="E1150" s="9">
        <v>42005</v>
      </c>
    </row>
    <row r="1151" spans="1:5" x14ac:dyDescent="0.45">
      <c r="A1151" t="s">
        <v>145</v>
      </c>
      <c r="B1151" t="s">
        <v>500</v>
      </c>
      <c r="C1151">
        <v>25965</v>
      </c>
      <c r="D1151">
        <v>62.03</v>
      </c>
      <c r="E1151" s="9">
        <v>41991</v>
      </c>
    </row>
    <row r="1152" spans="1:5" x14ac:dyDescent="0.45">
      <c r="A1152" t="s">
        <v>145</v>
      </c>
      <c r="B1152" t="s">
        <v>500</v>
      </c>
      <c r="C1152">
        <v>18178</v>
      </c>
      <c r="D1152">
        <v>202.39</v>
      </c>
      <c r="E1152" s="9">
        <v>41906</v>
      </c>
    </row>
    <row r="1153" spans="1:5" x14ac:dyDescent="0.45">
      <c r="A1153" t="s">
        <v>145</v>
      </c>
      <c r="B1153" t="s">
        <v>500</v>
      </c>
      <c r="C1153">
        <v>9247</v>
      </c>
      <c r="D1153">
        <v>58.36</v>
      </c>
      <c r="E1153" s="9">
        <v>41787</v>
      </c>
    </row>
    <row r="1154" spans="1:5" x14ac:dyDescent="0.45">
      <c r="A1154" t="s">
        <v>145</v>
      </c>
      <c r="B1154" t="s">
        <v>500</v>
      </c>
      <c r="C1154">
        <v>0</v>
      </c>
      <c r="D1154">
        <v>98.33</v>
      </c>
      <c r="E1154" s="9">
        <v>41736</v>
      </c>
    </row>
    <row r="1155" spans="1:5" x14ac:dyDescent="0.45">
      <c r="A1155" t="s">
        <v>146</v>
      </c>
      <c r="B1155" t="s">
        <v>511</v>
      </c>
      <c r="C1155">
        <v>186263</v>
      </c>
      <c r="D1155">
        <v>0</v>
      </c>
      <c r="E1155" s="9">
        <v>43670</v>
      </c>
    </row>
    <row r="1156" spans="1:5" x14ac:dyDescent="0.45">
      <c r="A1156" t="s">
        <v>146</v>
      </c>
      <c r="B1156" t="s">
        <v>511</v>
      </c>
      <c r="C1156">
        <v>185020</v>
      </c>
      <c r="D1156">
        <v>0</v>
      </c>
      <c r="E1156" s="9">
        <v>43509</v>
      </c>
    </row>
    <row r="1157" spans="1:5" x14ac:dyDescent="0.45">
      <c r="A1157" t="s">
        <v>146</v>
      </c>
      <c r="B1157" t="s">
        <v>511</v>
      </c>
      <c r="C1157">
        <v>185020</v>
      </c>
      <c r="D1157">
        <v>0</v>
      </c>
      <c r="E1157" s="9">
        <v>43509</v>
      </c>
    </row>
    <row r="1158" spans="1:5" x14ac:dyDescent="0.45">
      <c r="A1158" t="s">
        <v>146</v>
      </c>
      <c r="B1158" t="s">
        <v>511</v>
      </c>
      <c r="C1158">
        <v>185016</v>
      </c>
      <c r="D1158">
        <v>0</v>
      </c>
      <c r="E1158" s="9">
        <v>43489</v>
      </c>
    </row>
    <row r="1159" spans="1:5" x14ac:dyDescent="0.45">
      <c r="A1159" t="s">
        <v>146</v>
      </c>
      <c r="B1159" t="s">
        <v>511</v>
      </c>
      <c r="C1159">
        <v>174818</v>
      </c>
      <c r="D1159">
        <v>123.92</v>
      </c>
      <c r="E1159" s="9">
        <v>43343</v>
      </c>
    </row>
    <row r="1160" spans="1:5" x14ac:dyDescent="0.45">
      <c r="A1160" t="s">
        <v>146</v>
      </c>
      <c r="B1160" t="s">
        <v>511</v>
      </c>
      <c r="C1160">
        <v>167865</v>
      </c>
      <c r="D1160">
        <v>2113.7800000000002</v>
      </c>
      <c r="E1160" s="9">
        <v>43222</v>
      </c>
    </row>
    <row r="1161" spans="1:5" x14ac:dyDescent="0.45">
      <c r="A1161" t="s">
        <v>146</v>
      </c>
      <c r="B1161" t="s">
        <v>511</v>
      </c>
      <c r="C1161">
        <v>167865</v>
      </c>
      <c r="D1161">
        <v>0</v>
      </c>
      <c r="E1161" s="9">
        <v>43222</v>
      </c>
    </row>
    <row r="1162" spans="1:5" x14ac:dyDescent="0.45">
      <c r="A1162" t="s">
        <v>146</v>
      </c>
      <c r="B1162" t="s">
        <v>511</v>
      </c>
      <c r="C1162">
        <v>167845</v>
      </c>
      <c r="D1162">
        <v>2327.7600000000002</v>
      </c>
      <c r="E1162" s="9">
        <v>43207</v>
      </c>
    </row>
    <row r="1163" spans="1:5" x14ac:dyDescent="0.45">
      <c r="A1163" t="s">
        <v>146</v>
      </c>
      <c r="B1163" t="s">
        <v>511</v>
      </c>
      <c r="C1163">
        <v>167846</v>
      </c>
      <c r="D1163">
        <v>0</v>
      </c>
      <c r="E1163" s="9">
        <v>43207</v>
      </c>
    </row>
    <row r="1164" spans="1:5" x14ac:dyDescent="0.45">
      <c r="A1164" t="s">
        <v>146</v>
      </c>
      <c r="B1164" t="s">
        <v>511</v>
      </c>
      <c r="C1164">
        <v>166025</v>
      </c>
      <c r="D1164">
        <v>103.09</v>
      </c>
      <c r="E1164" s="9">
        <v>43179</v>
      </c>
    </row>
    <row r="1165" spans="1:5" x14ac:dyDescent="0.45">
      <c r="A1165" t="s">
        <v>146</v>
      </c>
      <c r="B1165" t="s">
        <v>511</v>
      </c>
      <c r="C1165">
        <v>165790</v>
      </c>
      <c r="D1165">
        <v>0</v>
      </c>
      <c r="E1165" s="9">
        <v>43174</v>
      </c>
    </row>
    <row r="1166" spans="1:5" x14ac:dyDescent="0.45">
      <c r="A1166" t="s">
        <v>146</v>
      </c>
      <c r="B1166" t="s">
        <v>511</v>
      </c>
      <c r="C1166">
        <v>163862</v>
      </c>
      <c r="D1166">
        <v>63.13</v>
      </c>
      <c r="E1166" s="9">
        <v>43155</v>
      </c>
    </row>
    <row r="1167" spans="1:5" x14ac:dyDescent="0.45">
      <c r="A1167" t="s">
        <v>146</v>
      </c>
      <c r="B1167" t="s">
        <v>511</v>
      </c>
      <c r="C1167">
        <v>162326</v>
      </c>
      <c r="D1167">
        <v>45.03</v>
      </c>
      <c r="E1167" s="9">
        <v>43144</v>
      </c>
    </row>
    <row r="1168" spans="1:5" x14ac:dyDescent="0.45">
      <c r="A1168" t="s">
        <v>146</v>
      </c>
      <c r="B1168" t="s">
        <v>511</v>
      </c>
      <c r="C1168">
        <v>159890</v>
      </c>
      <c r="D1168">
        <v>86.51</v>
      </c>
      <c r="E1168" s="9">
        <v>43110</v>
      </c>
    </row>
    <row r="1169" spans="1:5" x14ac:dyDescent="0.45">
      <c r="A1169" t="s">
        <v>146</v>
      </c>
      <c r="B1169" t="s">
        <v>511</v>
      </c>
      <c r="C1169">
        <v>155597</v>
      </c>
      <c r="D1169">
        <v>74.28</v>
      </c>
      <c r="E1169" s="9">
        <v>43060</v>
      </c>
    </row>
    <row r="1170" spans="1:5" x14ac:dyDescent="0.45">
      <c r="A1170" t="s">
        <v>146</v>
      </c>
      <c r="B1170" t="s">
        <v>511</v>
      </c>
      <c r="C1170">
        <v>151465</v>
      </c>
      <c r="D1170">
        <v>74.040000000000006</v>
      </c>
      <c r="E1170" s="9">
        <v>43005</v>
      </c>
    </row>
    <row r="1171" spans="1:5" x14ac:dyDescent="0.45">
      <c r="A1171" t="s">
        <v>146</v>
      </c>
      <c r="B1171" t="s">
        <v>511</v>
      </c>
      <c r="C1171">
        <v>151927</v>
      </c>
      <c r="D1171">
        <v>404.24</v>
      </c>
      <c r="E1171" s="9">
        <v>43004</v>
      </c>
    </row>
    <row r="1172" spans="1:5" x14ac:dyDescent="0.45">
      <c r="A1172" t="s">
        <v>146</v>
      </c>
      <c r="B1172" t="s">
        <v>511</v>
      </c>
      <c r="C1172">
        <v>146068</v>
      </c>
      <c r="D1172">
        <v>0</v>
      </c>
      <c r="E1172" s="9">
        <v>42949</v>
      </c>
    </row>
    <row r="1173" spans="1:5" x14ac:dyDescent="0.45">
      <c r="A1173" t="s">
        <v>146</v>
      </c>
      <c r="B1173" t="s">
        <v>511</v>
      </c>
      <c r="C1173">
        <v>141905</v>
      </c>
      <c r="D1173">
        <v>62.93</v>
      </c>
      <c r="E1173" s="9">
        <v>42922</v>
      </c>
    </row>
    <row r="1174" spans="1:5" x14ac:dyDescent="0.45">
      <c r="A1174" t="s">
        <v>146</v>
      </c>
      <c r="B1174" t="s">
        <v>511</v>
      </c>
      <c r="C1174">
        <v>134321</v>
      </c>
      <c r="D1174">
        <v>72.83</v>
      </c>
      <c r="E1174" s="9">
        <v>42861</v>
      </c>
    </row>
    <row r="1175" spans="1:5" x14ac:dyDescent="0.45">
      <c r="A1175" t="s">
        <v>146</v>
      </c>
      <c r="B1175" t="s">
        <v>511</v>
      </c>
      <c r="C1175">
        <v>128898</v>
      </c>
      <c r="D1175">
        <v>0</v>
      </c>
      <c r="E1175" s="9">
        <v>42822</v>
      </c>
    </row>
    <row r="1176" spans="1:5" x14ac:dyDescent="0.45">
      <c r="A1176" t="s">
        <v>146</v>
      </c>
      <c r="B1176" t="s">
        <v>511</v>
      </c>
      <c r="C1176">
        <v>125046</v>
      </c>
      <c r="D1176">
        <v>0</v>
      </c>
      <c r="E1176" s="9">
        <v>42794</v>
      </c>
    </row>
    <row r="1177" spans="1:5" x14ac:dyDescent="0.45">
      <c r="A1177" t="s">
        <v>146</v>
      </c>
      <c r="B1177" t="s">
        <v>511</v>
      </c>
      <c r="C1177">
        <v>124747</v>
      </c>
      <c r="D1177">
        <v>72.98</v>
      </c>
      <c r="E1177" s="9">
        <v>42790</v>
      </c>
    </row>
    <row r="1178" spans="1:5" x14ac:dyDescent="0.45">
      <c r="A1178" t="s">
        <v>146</v>
      </c>
      <c r="B1178" t="s">
        <v>511</v>
      </c>
      <c r="C1178">
        <v>121179</v>
      </c>
      <c r="D1178">
        <v>101.59</v>
      </c>
      <c r="E1178" s="9">
        <v>42763</v>
      </c>
    </row>
    <row r="1179" spans="1:5" x14ac:dyDescent="0.45">
      <c r="A1179" t="s">
        <v>146</v>
      </c>
      <c r="B1179" t="s">
        <v>511</v>
      </c>
      <c r="C1179">
        <v>114439</v>
      </c>
      <c r="D1179">
        <v>0</v>
      </c>
      <c r="E1179" s="9">
        <v>42697</v>
      </c>
    </row>
    <row r="1180" spans="1:5" x14ac:dyDescent="0.45">
      <c r="A1180" t="s">
        <v>146</v>
      </c>
      <c r="B1180" t="s">
        <v>511</v>
      </c>
      <c r="C1180">
        <v>107047</v>
      </c>
      <c r="D1180">
        <v>0</v>
      </c>
      <c r="E1180" s="9">
        <v>42629</v>
      </c>
    </row>
    <row r="1181" spans="1:5" x14ac:dyDescent="0.45">
      <c r="A1181" t="s">
        <v>146</v>
      </c>
      <c r="B1181" t="s">
        <v>511</v>
      </c>
      <c r="C1181">
        <v>95591</v>
      </c>
      <c r="D1181">
        <v>0</v>
      </c>
      <c r="E1181" s="9">
        <v>42530</v>
      </c>
    </row>
    <row r="1182" spans="1:5" x14ac:dyDescent="0.45">
      <c r="A1182" t="s">
        <v>146</v>
      </c>
      <c r="B1182" t="s">
        <v>511</v>
      </c>
      <c r="C1182">
        <v>91200</v>
      </c>
      <c r="D1182">
        <v>0</v>
      </c>
      <c r="E1182" s="9">
        <v>42492</v>
      </c>
    </row>
    <row r="1183" spans="1:5" x14ac:dyDescent="0.45">
      <c r="A1183" t="s">
        <v>146</v>
      </c>
      <c r="B1183" t="s">
        <v>511</v>
      </c>
      <c r="C1183">
        <v>87207</v>
      </c>
      <c r="D1183">
        <v>0</v>
      </c>
      <c r="E1183" s="9">
        <v>42445</v>
      </c>
    </row>
    <row r="1184" spans="1:5" x14ac:dyDescent="0.45">
      <c r="A1184" t="s">
        <v>146</v>
      </c>
      <c r="B1184" t="s">
        <v>511</v>
      </c>
      <c r="C1184">
        <v>78941</v>
      </c>
      <c r="D1184">
        <v>0</v>
      </c>
      <c r="E1184" s="9">
        <v>42361</v>
      </c>
    </row>
    <row r="1185" spans="1:5" x14ac:dyDescent="0.45">
      <c r="A1185" t="s">
        <v>146</v>
      </c>
      <c r="B1185" t="s">
        <v>511</v>
      </c>
      <c r="C1185">
        <v>72430</v>
      </c>
      <c r="D1185">
        <v>0</v>
      </c>
      <c r="E1185" s="9">
        <v>42293</v>
      </c>
    </row>
    <row r="1186" spans="1:5" x14ac:dyDescent="0.45">
      <c r="A1186" t="s">
        <v>146</v>
      </c>
      <c r="B1186" t="s">
        <v>511</v>
      </c>
      <c r="C1186">
        <v>67161</v>
      </c>
      <c r="D1186">
        <v>782.9</v>
      </c>
      <c r="E1186" s="9">
        <v>42240</v>
      </c>
    </row>
    <row r="1187" spans="1:5" x14ac:dyDescent="0.45">
      <c r="A1187" t="s">
        <v>146</v>
      </c>
      <c r="B1187" t="s">
        <v>511</v>
      </c>
      <c r="C1187">
        <v>66154</v>
      </c>
      <c r="D1187">
        <v>62.03</v>
      </c>
      <c r="E1187" s="9">
        <v>42234</v>
      </c>
    </row>
    <row r="1188" spans="1:5" x14ac:dyDescent="0.45">
      <c r="A1188" t="s">
        <v>146</v>
      </c>
      <c r="B1188" t="s">
        <v>511</v>
      </c>
      <c r="C1188">
        <v>58794</v>
      </c>
      <c r="D1188">
        <v>230.77</v>
      </c>
      <c r="E1188" s="9">
        <v>42165</v>
      </c>
    </row>
    <row r="1189" spans="1:5" x14ac:dyDescent="0.45">
      <c r="A1189" t="s">
        <v>146</v>
      </c>
      <c r="B1189" t="s">
        <v>511</v>
      </c>
      <c r="C1189">
        <v>54701</v>
      </c>
      <c r="D1189">
        <v>62.03</v>
      </c>
      <c r="E1189" s="9">
        <v>42130</v>
      </c>
    </row>
    <row r="1190" spans="1:5" x14ac:dyDescent="0.45">
      <c r="A1190" t="s">
        <v>146</v>
      </c>
      <c r="B1190" t="s">
        <v>511</v>
      </c>
      <c r="C1190">
        <v>49253</v>
      </c>
      <c r="D1190">
        <v>72.98</v>
      </c>
      <c r="E1190" s="9">
        <v>42069</v>
      </c>
    </row>
    <row r="1191" spans="1:5" x14ac:dyDescent="0.45">
      <c r="A1191" t="s">
        <v>146</v>
      </c>
      <c r="B1191" t="s">
        <v>511</v>
      </c>
      <c r="C1191">
        <v>43759</v>
      </c>
      <c r="D1191">
        <v>62.03</v>
      </c>
      <c r="E1191" s="9">
        <v>42007</v>
      </c>
    </row>
    <row r="1192" spans="1:5" x14ac:dyDescent="0.45">
      <c r="A1192" t="s">
        <v>146</v>
      </c>
      <c r="B1192" t="s">
        <v>511</v>
      </c>
      <c r="C1192">
        <v>0</v>
      </c>
      <c r="E1192" s="9">
        <v>42005</v>
      </c>
    </row>
    <row r="1193" spans="1:5" x14ac:dyDescent="0.45">
      <c r="A1193" t="s">
        <v>146</v>
      </c>
      <c r="B1193" t="s">
        <v>511</v>
      </c>
      <c r="C1193">
        <v>37350</v>
      </c>
      <c r="D1193">
        <v>0</v>
      </c>
      <c r="E1193" s="9">
        <v>41923</v>
      </c>
    </row>
    <row r="1194" spans="1:5" x14ac:dyDescent="0.45">
      <c r="A1194" t="s">
        <v>146</v>
      </c>
      <c r="B1194" t="s">
        <v>511</v>
      </c>
      <c r="C1194">
        <v>30422</v>
      </c>
      <c r="D1194">
        <v>87.2</v>
      </c>
      <c r="E1194" s="9">
        <v>41837</v>
      </c>
    </row>
    <row r="1195" spans="1:5" x14ac:dyDescent="0.45">
      <c r="A1195" t="s">
        <v>146</v>
      </c>
      <c r="B1195" t="s">
        <v>511</v>
      </c>
      <c r="C1195">
        <v>29065</v>
      </c>
      <c r="D1195">
        <v>0</v>
      </c>
      <c r="E1195" s="9">
        <v>41822</v>
      </c>
    </row>
    <row r="1196" spans="1:5" x14ac:dyDescent="0.45">
      <c r="A1196" t="s">
        <v>146</v>
      </c>
      <c r="B1196" t="s">
        <v>511</v>
      </c>
      <c r="C1196">
        <v>26833</v>
      </c>
      <c r="D1196">
        <v>0</v>
      </c>
      <c r="E1196" s="9">
        <v>41799</v>
      </c>
    </row>
    <row r="1197" spans="1:5" x14ac:dyDescent="0.45">
      <c r="A1197" t="s">
        <v>146</v>
      </c>
      <c r="B1197" t="s">
        <v>511</v>
      </c>
      <c r="C1197">
        <v>0</v>
      </c>
      <c r="D1197">
        <v>300</v>
      </c>
      <c r="E1197" s="9">
        <v>41727</v>
      </c>
    </row>
    <row r="1198" spans="1:5" x14ac:dyDescent="0.45">
      <c r="A1198" t="s">
        <v>146</v>
      </c>
      <c r="B1198" t="s">
        <v>511</v>
      </c>
      <c r="C1198">
        <v>16356</v>
      </c>
      <c r="D1198">
        <v>58.36</v>
      </c>
      <c r="E1198" s="9">
        <v>41655</v>
      </c>
    </row>
    <row r="1199" spans="1:5" x14ac:dyDescent="0.45">
      <c r="A1199" t="s">
        <v>146</v>
      </c>
      <c r="B1199" t="s">
        <v>511</v>
      </c>
      <c r="C1199">
        <v>9407</v>
      </c>
      <c r="D1199">
        <v>61.18</v>
      </c>
      <c r="E1199" s="9">
        <v>41628</v>
      </c>
    </row>
    <row r="1200" spans="1:5" x14ac:dyDescent="0.45">
      <c r="A1200" t="s">
        <v>146</v>
      </c>
      <c r="B1200" t="s">
        <v>511</v>
      </c>
      <c r="C1200">
        <v>4775</v>
      </c>
      <c r="D1200">
        <v>36.81</v>
      </c>
      <c r="E1200" s="9">
        <v>41498</v>
      </c>
    </row>
    <row r="1201" spans="1:7" x14ac:dyDescent="0.45">
      <c r="A1201" t="s">
        <v>147</v>
      </c>
      <c r="B1201" t="s">
        <v>505</v>
      </c>
      <c r="C1201">
        <v>7</v>
      </c>
      <c r="D1201" s="13"/>
      <c r="E1201" s="16">
        <v>43700</v>
      </c>
      <c r="G1201" s="13"/>
    </row>
    <row r="1202" spans="1:7" x14ac:dyDescent="0.45">
      <c r="A1202" t="s">
        <v>147</v>
      </c>
      <c r="B1202" t="s">
        <v>505</v>
      </c>
      <c r="C1202">
        <v>71</v>
      </c>
      <c r="E1202" s="9">
        <v>43788</v>
      </c>
    </row>
    <row r="1203" spans="1:7" x14ac:dyDescent="0.45">
      <c r="A1203" t="s">
        <v>147</v>
      </c>
      <c r="B1203" t="s">
        <v>505</v>
      </c>
      <c r="C1203">
        <v>9575</v>
      </c>
      <c r="D1203" s="13">
        <v>80</v>
      </c>
      <c r="E1203" s="16">
        <v>43994</v>
      </c>
      <c r="G1203" s="13"/>
    </row>
    <row r="1204" spans="1:7" x14ac:dyDescent="0.45">
      <c r="A1204" t="s">
        <v>147</v>
      </c>
      <c r="B1204" t="s">
        <v>505</v>
      </c>
      <c r="C1204">
        <v>11026</v>
      </c>
      <c r="D1204">
        <v>80</v>
      </c>
      <c r="E1204" s="9">
        <v>44018</v>
      </c>
    </row>
    <row r="1205" spans="1:7" x14ac:dyDescent="0.45">
      <c r="A1205" t="s">
        <v>147</v>
      </c>
      <c r="B1205" t="s">
        <v>505</v>
      </c>
      <c r="C1205">
        <v>17002</v>
      </c>
      <c r="D1205" s="13">
        <v>80</v>
      </c>
      <c r="E1205" s="16">
        <v>44085</v>
      </c>
      <c r="G1205" s="13"/>
    </row>
    <row r="1206" spans="1:7" x14ac:dyDescent="0.45">
      <c r="A1206" t="s">
        <v>147</v>
      </c>
      <c r="B1206" t="s">
        <v>505</v>
      </c>
      <c r="C1206">
        <v>22217</v>
      </c>
      <c r="D1206">
        <v>80</v>
      </c>
      <c r="E1206" s="9">
        <v>44118</v>
      </c>
    </row>
    <row r="1207" spans="1:7" x14ac:dyDescent="0.45">
      <c r="A1207" t="s">
        <v>147</v>
      </c>
      <c r="B1207" t="s">
        <v>505</v>
      </c>
      <c r="C1207">
        <v>27346</v>
      </c>
      <c r="D1207" s="13">
        <v>100</v>
      </c>
      <c r="E1207" s="16">
        <v>44183</v>
      </c>
      <c r="G1207" s="13"/>
    </row>
    <row r="1208" spans="1:7" x14ac:dyDescent="0.45">
      <c r="A1208" t="s">
        <v>148</v>
      </c>
      <c r="B1208" t="s">
        <v>604</v>
      </c>
      <c r="C1208">
        <v>0</v>
      </c>
      <c r="D1208">
        <v>125</v>
      </c>
      <c r="E1208" s="9">
        <v>42005</v>
      </c>
    </row>
    <row r="1209" spans="1:7" x14ac:dyDescent="0.45">
      <c r="A1209" s="14" t="s">
        <v>148</v>
      </c>
      <c r="B1209" s="14"/>
      <c r="C1209" s="14">
        <v>3000</v>
      </c>
      <c r="D1209" s="14"/>
      <c r="E1209" s="17">
        <v>42369</v>
      </c>
    </row>
    <row r="1210" spans="1:7" x14ac:dyDescent="0.45">
      <c r="A1210" s="14" t="s">
        <v>148</v>
      </c>
      <c r="B1210" s="14"/>
      <c r="C1210" s="14">
        <v>5000</v>
      </c>
      <c r="D1210" s="14"/>
      <c r="E1210" s="17">
        <v>42734</v>
      </c>
    </row>
    <row r="1211" spans="1:7" x14ac:dyDescent="0.45">
      <c r="A1211" t="s">
        <v>148</v>
      </c>
      <c r="B1211" t="s">
        <v>604</v>
      </c>
      <c r="C1211">
        <v>6184</v>
      </c>
      <c r="D1211">
        <v>71.56</v>
      </c>
      <c r="E1211" s="9">
        <v>42885</v>
      </c>
    </row>
    <row r="1212" spans="1:7" x14ac:dyDescent="0.45">
      <c r="A1212" t="s">
        <v>148</v>
      </c>
      <c r="B1212" t="s">
        <v>604</v>
      </c>
      <c r="C1212">
        <v>14752</v>
      </c>
      <c r="D1212">
        <v>235</v>
      </c>
      <c r="E1212" s="9">
        <v>43011</v>
      </c>
    </row>
    <row r="1213" spans="1:7" x14ac:dyDescent="0.45">
      <c r="A1213" t="s">
        <v>148</v>
      </c>
      <c r="B1213" t="s">
        <v>604</v>
      </c>
      <c r="C1213">
        <v>21574</v>
      </c>
      <c r="D1213">
        <v>85.6</v>
      </c>
      <c r="E1213" s="9">
        <v>43110</v>
      </c>
    </row>
    <row r="1214" spans="1:7" x14ac:dyDescent="0.45">
      <c r="A1214" t="s">
        <v>148</v>
      </c>
      <c r="B1214" t="s">
        <v>604</v>
      </c>
      <c r="C1214">
        <v>26274</v>
      </c>
      <c r="D1214">
        <v>71.56</v>
      </c>
      <c r="E1214" s="9">
        <v>43182</v>
      </c>
    </row>
    <row r="1215" spans="1:7" x14ac:dyDescent="0.45">
      <c r="A1215" t="s">
        <v>148</v>
      </c>
      <c r="B1215" t="s">
        <v>604</v>
      </c>
      <c r="C1215">
        <v>16838</v>
      </c>
      <c r="D1215">
        <v>100</v>
      </c>
      <c r="E1215" s="9">
        <v>43185</v>
      </c>
    </row>
    <row r="1216" spans="1:7" x14ac:dyDescent="0.45">
      <c r="A1216" t="s">
        <v>148</v>
      </c>
      <c r="B1216" t="s">
        <v>604</v>
      </c>
      <c r="C1216">
        <v>33304</v>
      </c>
      <c r="D1216">
        <v>757.78</v>
      </c>
      <c r="E1216" s="9">
        <v>43274</v>
      </c>
    </row>
    <row r="1217" spans="1:5" x14ac:dyDescent="0.45">
      <c r="A1217" t="s">
        <v>148</v>
      </c>
      <c r="B1217" t="s">
        <v>604</v>
      </c>
      <c r="C1217">
        <v>13045</v>
      </c>
      <c r="D1217">
        <v>100</v>
      </c>
      <c r="E1217" s="9">
        <v>43489</v>
      </c>
    </row>
    <row r="1218" spans="1:5" x14ac:dyDescent="0.45">
      <c r="A1218" t="s">
        <v>148</v>
      </c>
      <c r="B1218" t="s">
        <v>604</v>
      </c>
      <c r="C1218">
        <v>49122</v>
      </c>
      <c r="D1218">
        <v>125</v>
      </c>
      <c r="E1218" s="9">
        <v>43489</v>
      </c>
    </row>
    <row r="1219" spans="1:5" x14ac:dyDescent="0.45">
      <c r="A1219" t="s">
        <v>148</v>
      </c>
      <c r="B1219" t="s">
        <v>604</v>
      </c>
      <c r="C1219">
        <v>50085</v>
      </c>
      <c r="D1219">
        <v>0</v>
      </c>
      <c r="E1219" s="9">
        <v>43503</v>
      </c>
    </row>
    <row r="1220" spans="1:5" x14ac:dyDescent="0.45">
      <c r="A1220" t="s">
        <v>148</v>
      </c>
      <c r="B1220" t="s">
        <v>604</v>
      </c>
      <c r="C1220">
        <v>61310</v>
      </c>
      <c r="D1220">
        <v>0</v>
      </c>
      <c r="E1220" s="9">
        <v>43670</v>
      </c>
    </row>
    <row r="1221" spans="1:5" x14ac:dyDescent="0.45">
      <c r="A1221" t="s">
        <v>148</v>
      </c>
      <c r="B1221" t="s">
        <v>604</v>
      </c>
      <c r="C1221">
        <v>68098</v>
      </c>
      <c r="D1221">
        <v>200</v>
      </c>
      <c r="E1221" s="9">
        <v>43776</v>
      </c>
    </row>
    <row r="1222" spans="1:5" x14ac:dyDescent="0.45">
      <c r="A1222" t="s">
        <v>148</v>
      </c>
      <c r="B1222" t="s">
        <v>604</v>
      </c>
      <c r="C1222">
        <v>69500</v>
      </c>
      <c r="D1222">
        <v>1000</v>
      </c>
      <c r="E1222" s="9">
        <v>43792</v>
      </c>
    </row>
    <row r="1223" spans="1:5" x14ac:dyDescent="0.45">
      <c r="A1223" t="s">
        <v>148</v>
      </c>
      <c r="B1223" t="s">
        <v>604</v>
      </c>
      <c r="C1223">
        <v>73238</v>
      </c>
      <c r="D1223">
        <v>500</v>
      </c>
      <c r="E1223" s="9">
        <v>43861</v>
      </c>
    </row>
    <row r="1224" spans="1:5" x14ac:dyDescent="0.45">
      <c r="A1224" t="s">
        <v>148</v>
      </c>
      <c r="B1224" t="s">
        <v>604</v>
      </c>
      <c r="C1224" s="14">
        <v>80000</v>
      </c>
      <c r="D1224">
        <v>100</v>
      </c>
      <c r="E1224" s="9">
        <v>43864</v>
      </c>
    </row>
    <row r="1225" spans="1:5" x14ac:dyDescent="0.45">
      <c r="A1225" t="s">
        <v>148</v>
      </c>
      <c r="B1225" t="s">
        <v>604</v>
      </c>
      <c r="C1225" s="14">
        <v>85000</v>
      </c>
      <c r="E1225" s="9">
        <v>43902</v>
      </c>
    </row>
    <row r="1226" spans="1:5" x14ac:dyDescent="0.45">
      <c r="A1226" t="s">
        <v>148</v>
      </c>
      <c r="B1226" t="s">
        <v>604</v>
      </c>
      <c r="C1226">
        <v>88902</v>
      </c>
      <c r="D1226">
        <v>125</v>
      </c>
      <c r="E1226" s="9">
        <v>44121</v>
      </c>
    </row>
    <row r="1227" spans="1:5" x14ac:dyDescent="0.45">
      <c r="A1227" t="s">
        <v>148</v>
      </c>
      <c r="B1227" t="s">
        <v>604</v>
      </c>
      <c r="C1227">
        <v>89872</v>
      </c>
      <c r="E1227" s="9">
        <v>44146</v>
      </c>
    </row>
    <row r="1228" spans="1:5" x14ac:dyDescent="0.45">
      <c r="A1228" t="s">
        <v>149</v>
      </c>
      <c r="B1228" t="s">
        <v>600</v>
      </c>
      <c r="C1228">
        <v>91191</v>
      </c>
      <c r="D1228">
        <v>125</v>
      </c>
      <c r="E1228" s="9">
        <v>43670</v>
      </c>
    </row>
    <row r="1229" spans="1:5" x14ac:dyDescent="0.45">
      <c r="A1229" t="s">
        <v>149</v>
      </c>
      <c r="B1229" t="s">
        <v>600</v>
      </c>
      <c r="C1229">
        <v>74959</v>
      </c>
      <c r="D1229">
        <v>125</v>
      </c>
      <c r="E1229" s="9">
        <v>43503</v>
      </c>
    </row>
    <row r="1230" spans="1:5" x14ac:dyDescent="0.45">
      <c r="A1230" t="s">
        <v>149</v>
      </c>
      <c r="B1230" t="s">
        <v>600</v>
      </c>
      <c r="C1230">
        <v>68401</v>
      </c>
      <c r="D1230">
        <v>125</v>
      </c>
      <c r="E1230" s="9">
        <v>43489</v>
      </c>
    </row>
    <row r="1231" spans="1:5" x14ac:dyDescent="0.45">
      <c r="A1231" t="s">
        <v>149</v>
      </c>
      <c r="B1231" t="s">
        <v>600</v>
      </c>
      <c r="C1231">
        <v>68401</v>
      </c>
      <c r="D1231">
        <v>125</v>
      </c>
      <c r="E1231" s="9">
        <v>43489</v>
      </c>
    </row>
    <row r="1232" spans="1:5" x14ac:dyDescent="0.45">
      <c r="A1232" t="s">
        <v>149</v>
      </c>
      <c r="B1232" t="s">
        <v>600</v>
      </c>
      <c r="C1232">
        <v>64815</v>
      </c>
      <c r="D1232">
        <v>125</v>
      </c>
      <c r="E1232" s="9">
        <v>43398</v>
      </c>
    </row>
    <row r="1233" spans="1:5" x14ac:dyDescent="0.45">
      <c r="A1233" t="s">
        <v>149</v>
      </c>
      <c r="B1233" t="s">
        <v>600</v>
      </c>
      <c r="C1233">
        <v>49180</v>
      </c>
      <c r="D1233">
        <v>769.13</v>
      </c>
      <c r="E1233" s="9">
        <v>43294</v>
      </c>
    </row>
    <row r="1234" spans="1:5" x14ac:dyDescent="0.45">
      <c r="A1234" t="s">
        <v>149</v>
      </c>
      <c r="B1234" t="s">
        <v>600</v>
      </c>
      <c r="C1234">
        <v>33392</v>
      </c>
      <c r="D1234">
        <v>557.37</v>
      </c>
      <c r="E1234" s="9">
        <v>43185</v>
      </c>
    </row>
    <row r="1235" spans="1:5" x14ac:dyDescent="0.45">
      <c r="A1235" t="s">
        <v>149</v>
      </c>
      <c r="B1235" t="s">
        <v>600</v>
      </c>
      <c r="C1235">
        <v>31547</v>
      </c>
      <c r="D1235">
        <v>328.15</v>
      </c>
      <c r="E1235" s="9">
        <v>43151</v>
      </c>
    </row>
    <row r="1236" spans="1:5" x14ac:dyDescent="0.45">
      <c r="A1236" t="s">
        <v>149</v>
      </c>
      <c r="B1236" t="s">
        <v>600</v>
      </c>
      <c r="C1236">
        <v>25295</v>
      </c>
      <c r="D1236">
        <v>125</v>
      </c>
      <c r="E1236" s="9">
        <v>43076</v>
      </c>
    </row>
    <row r="1237" spans="1:5" x14ac:dyDescent="0.45">
      <c r="A1237" t="s">
        <v>149</v>
      </c>
      <c r="B1237" t="s">
        <v>600</v>
      </c>
      <c r="C1237">
        <v>13816</v>
      </c>
      <c r="D1237">
        <v>125</v>
      </c>
      <c r="E1237" s="9">
        <v>42951</v>
      </c>
    </row>
    <row r="1238" spans="1:5" x14ac:dyDescent="0.45">
      <c r="A1238" t="s">
        <v>149</v>
      </c>
      <c r="B1238" t="s">
        <v>600</v>
      </c>
      <c r="C1238">
        <v>7389</v>
      </c>
      <c r="D1238">
        <v>71.540000000000006</v>
      </c>
      <c r="E1238" s="9">
        <v>42879</v>
      </c>
    </row>
    <row r="1239" spans="1:5" x14ac:dyDescent="0.45">
      <c r="A1239" t="s">
        <v>150</v>
      </c>
      <c r="B1239" t="s">
        <v>611</v>
      </c>
      <c r="C1239">
        <v>66011</v>
      </c>
      <c r="D1239">
        <v>125</v>
      </c>
      <c r="E1239" s="9">
        <v>43670</v>
      </c>
    </row>
    <row r="1240" spans="1:5" x14ac:dyDescent="0.45">
      <c r="A1240" t="s">
        <v>150</v>
      </c>
      <c r="B1240" t="s">
        <v>611</v>
      </c>
      <c r="C1240">
        <v>52559</v>
      </c>
      <c r="D1240">
        <v>125</v>
      </c>
      <c r="E1240" s="9">
        <v>43503</v>
      </c>
    </row>
    <row r="1241" spans="1:5" x14ac:dyDescent="0.45">
      <c r="A1241" t="s">
        <v>150</v>
      </c>
      <c r="B1241" t="s">
        <v>611</v>
      </c>
      <c r="C1241">
        <v>44451</v>
      </c>
      <c r="D1241">
        <v>125</v>
      </c>
      <c r="E1241" s="9">
        <v>43489</v>
      </c>
    </row>
    <row r="1242" spans="1:5" x14ac:dyDescent="0.45">
      <c r="A1242" t="s">
        <v>150</v>
      </c>
      <c r="B1242" t="s">
        <v>611</v>
      </c>
      <c r="C1242">
        <v>44463</v>
      </c>
      <c r="D1242">
        <v>125</v>
      </c>
      <c r="E1242" s="9">
        <v>43489</v>
      </c>
    </row>
    <row r="1243" spans="1:5" x14ac:dyDescent="0.45">
      <c r="A1243" t="s">
        <v>150</v>
      </c>
      <c r="B1243" t="s">
        <v>611</v>
      </c>
      <c r="C1243">
        <v>0</v>
      </c>
      <c r="D1243">
        <v>428.93</v>
      </c>
      <c r="E1243" s="9">
        <v>43312</v>
      </c>
    </row>
    <row r="1244" spans="1:5" x14ac:dyDescent="0.45">
      <c r="A1244" t="s">
        <v>150</v>
      </c>
      <c r="B1244" t="s">
        <v>611</v>
      </c>
      <c r="C1244">
        <v>38589</v>
      </c>
      <c r="D1244">
        <v>1172.53</v>
      </c>
      <c r="E1244" s="9">
        <v>43300</v>
      </c>
    </row>
    <row r="1245" spans="1:5" x14ac:dyDescent="0.45">
      <c r="A1245" t="s">
        <v>150</v>
      </c>
      <c r="B1245" t="s">
        <v>611</v>
      </c>
      <c r="C1245">
        <v>27954</v>
      </c>
      <c r="D1245">
        <v>109.73</v>
      </c>
      <c r="E1245" s="9">
        <v>43192</v>
      </c>
    </row>
    <row r="1246" spans="1:5" x14ac:dyDescent="0.45">
      <c r="A1246" t="s">
        <v>150</v>
      </c>
      <c r="B1246" t="s">
        <v>611</v>
      </c>
      <c r="C1246">
        <v>19508</v>
      </c>
      <c r="D1246">
        <v>125</v>
      </c>
      <c r="E1246" s="9">
        <v>43153</v>
      </c>
    </row>
    <row r="1247" spans="1:5" x14ac:dyDescent="0.45">
      <c r="A1247" t="s">
        <v>150</v>
      </c>
      <c r="B1247" t="s">
        <v>611</v>
      </c>
      <c r="C1247">
        <v>19508</v>
      </c>
      <c r="D1247">
        <v>125</v>
      </c>
      <c r="E1247" s="9">
        <v>43153</v>
      </c>
    </row>
    <row r="1248" spans="1:5" x14ac:dyDescent="0.45">
      <c r="A1248" t="s">
        <v>150</v>
      </c>
      <c r="B1248" t="s">
        <v>611</v>
      </c>
      <c r="C1248">
        <v>20083</v>
      </c>
      <c r="D1248">
        <v>71.56</v>
      </c>
      <c r="E1248" s="9">
        <v>43074</v>
      </c>
    </row>
    <row r="1249" spans="1:5" x14ac:dyDescent="0.45">
      <c r="A1249" t="s">
        <v>150</v>
      </c>
      <c r="B1249" t="s">
        <v>611</v>
      </c>
      <c r="C1249">
        <v>9731</v>
      </c>
      <c r="D1249">
        <v>125</v>
      </c>
      <c r="E1249" s="9">
        <v>42951</v>
      </c>
    </row>
    <row r="1250" spans="1:5" x14ac:dyDescent="0.45">
      <c r="A1250" t="s">
        <v>150</v>
      </c>
      <c r="B1250" t="s">
        <v>611</v>
      </c>
      <c r="C1250">
        <v>6213</v>
      </c>
      <c r="D1250">
        <v>71.56</v>
      </c>
      <c r="E1250" s="9">
        <v>42888</v>
      </c>
    </row>
    <row r="1251" spans="1:5" x14ac:dyDescent="0.45">
      <c r="A1251" t="s">
        <v>151</v>
      </c>
      <c r="B1251" t="s">
        <v>608</v>
      </c>
      <c r="C1251">
        <v>0</v>
      </c>
      <c r="D1251">
        <v>125</v>
      </c>
      <c r="E1251" s="9">
        <v>42005</v>
      </c>
    </row>
    <row r="1252" spans="1:5" x14ac:dyDescent="0.45">
      <c r="A1252" s="14" t="s">
        <v>151</v>
      </c>
      <c r="B1252" s="14" t="s">
        <v>608</v>
      </c>
      <c r="C1252" s="14">
        <v>3000</v>
      </c>
      <c r="D1252" s="14"/>
      <c r="E1252" s="17">
        <v>42368</v>
      </c>
    </row>
    <row r="1253" spans="1:5" x14ac:dyDescent="0.45">
      <c r="A1253" s="14" t="s">
        <v>151</v>
      </c>
      <c r="B1253" s="14" t="s">
        <v>608</v>
      </c>
      <c r="C1253" s="14">
        <v>5000</v>
      </c>
      <c r="D1253" s="14"/>
      <c r="E1253" s="17">
        <v>42734</v>
      </c>
    </row>
    <row r="1254" spans="1:5" x14ac:dyDescent="0.45">
      <c r="A1254" t="s">
        <v>151</v>
      </c>
      <c r="B1254" t="s">
        <v>608</v>
      </c>
      <c r="C1254">
        <v>6010</v>
      </c>
      <c r="D1254">
        <v>125</v>
      </c>
      <c r="E1254" s="9">
        <v>42888</v>
      </c>
    </row>
    <row r="1255" spans="1:5" x14ac:dyDescent="0.45">
      <c r="A1255" t="s">
        <v>151</v>
      </c>
      <c r="B1255" t="s">
        <v>608</v>
      </c>
      <c r="C1255">
        <v>19045</v>
      </c>
      <c r="D1255">
        <v>125</v>
      </c>
      <c r="E1255" s="9">
        <v>43087</v>
      </c>
    </row>
    <row r="1256" spans="1:5" x14ac:dyDescent="0.45">
      <c r="A1256" t="s">
        <v>151</v>
      </c>
      <c r="B1256" t="s">
        <v>608</v>
      </c>
      <c r="C1256">
        <v>24502</v>
      </c>
      <c r="D1256">
        <v>125</v>
      </c>
      <c r="E1256" s="9">
        <v>43188</v>
      </c>
    </row>
    <row r="1257" spans="1:5" x14ac:dyDescent="0.45">
      <c r="A1257" t="s">
        <v>151</v>
      </c>
      <c r="B1257" t="s">
        <v>608</v>
      </c>
      <c r="C1257">
        <v>29805</v>
      </c>
      <c r="D1257">
        <v>573.74</v>
      </c>
      <c r="E1257" s="9">
        <v>43276</v>
      </c>
    </row>
    <row r="1258" spans="1:5" x14ac:dyDescent="0.45">
      <c r="A1258" t="s">
        <v>151</v>
      </c>
      <c r="B1258" t="s">
        <v>608</v>
      </c>
      <c r="C1258">
        <v>35599</v>
      </c>
      <c r="D1258">
        <v>125</v>
      </c>
      <c r="E1258" s="9">
        <v>43489</v>
      </c>
    </row>
    <row r="1259" spans="1:5" x14ac:dyDescent="0.45">
      <c r="A1259" t="s">
        <v>151</v>
      </c>
      <c r="B1259" t="s">
        <v>608</v>
      </c>
      <c r="C1259">
        <v>35599</v>
      </c>
      <c r="D1259">
        <v>125</v>
      </c>
      <c r="E1259" s="9">
        <v>43489</v>
      </c>
    </row>
    <row r="1260" spans="1:5" x14ac:dyDescent="0.45">
      <c r="A1260" t="s">
        <v>151</v>
      </c>
      <c r="B1260" t="s">
        <v>608</v>
      </c>
      <c r="C1260">
        <v>40870</v>
      </c>
      <c r="D1260">
        <v>125</v>
      </c>
      <c r="E1260" s="9">
        <v>43503</v>
      </c>
    </row>
    <row r="1261" spans="1:5" x14ac:dyDescent="0.45">
      <c r="A1261" t="s">
        <v>151</v>
      </c>
      <c r="B1261" t="s">
        <v>608</v>
      </c>
      <c r="C1261">
        <v>50865</v>
      </c>
      <c r="D1261">
        <v>125</v>
      </c>
      <c r="E1261" s="9">
        <v>43670</v>
      </c>
    </row>
    <row r="1262" spans="1:5" ht="28.5" x14ac:dyDescent="0.45">
      <c r="A1262" s="44" t="s">
        <v>107</v>
      </c>
      <c r="B1262" s="44" t="s">
        <v>560</v>
      </c>
      <c r="C1262" s="45">
        <v>9399</v>
      </c>
      <c r="D1262" s="44">
        <v>125</v>
      </c>
      <c r="E1262" s="46">
        <v>43999</v>
      </c>
    </row>
    <row r="1263" spans="1:5" ht="28.5" x14ac:dyDescent="0.45">
      <c r="A1263" s="44" t="s">
        <v>107</v>
      </c>
      <c r="B1263" s="44" t="s">
        <v>560</v>
      </c>
      <c r="C1263" s="45">
        <v>18423</v>
      </c>
      <c r="D1263" s="44">
        <v>125</v>
      </c>
      <c r="E1263" s="46">
        <v>44103</v>
      </c>
    </row>
    <row r="1264" spans="1:5" ht="28.5" x14ac:dyDescent="0.45">
      <c r="A1264" s="44" t="s">
        <v>107</v>
      </c>
      <c r="B1264" s="44" t="s">
        <v>560</v>
      </c>
      <c r="C1264" s="45">
        <v>28029</v>
      </c>
      <c r="D1264" s="44">
        <v>125</v>
      </c>
      <c r="E1264" s="46">
        <v>44210</v>
      </c>
    </row>
    <row r="1265" spans="1:5" ht="28.5" x14ac:dyDescent="0.45">
      <c r="A1265" s="44" t="s">
        <v>107</v>
      </c>
      <c r="B1265" s="44" t="s">
        <v>560</v>
      </c>
      <c r="C1265" s="45">
        <v>28835</v>
      </c>
      <c r="D1265" s="44">
        <v>19</v>
      </c>
      <c r="E1265" s="46">
        <v>44221</v>
      </c>
    </row>
    <row r="1266" spans="1:5" x14ac:dyDescent="0.45">
      <c r="A1266" t="s">
        <v>122</v>
      </c>
      <c r="C1266" s="44">
        <v>12786</v>
      </c>
      <c r="D1266" s="44">
        <v>51.81</v>
      </c>
      <c r="E1266" s="46">
        <v>43816</v>
      </c>
    </row>
    <row r="1267" spans="1:5" x14ac:dyDescent="0.45">
      <c r="A1267" t="s">
        <v>660</v>
      </c>
      <c r="C1267" s="52">
        <v>32000</v>
      </c>
      <c r="D1267" s="44"/>
      <c r="E1267" s="46">
        <v>44166</v>
      </c>
    </row>
    <row r="1268" spans="1:5" x14ac:dyDescent="0.45">
      <c r="A1268" t="s">
        <v>122</v>
      </c>
      <c r="C1268" s="44">
        <v>37834</v>
      </c>
      <c r="D1268" s="44">
        <v>487.55</v>
      </c>
      <c r="E1268" s="46">
        <v>44242</v>
      </c>
    </row>
    <row r="1269" spans="1:5" x14ac:dyDescent="0.45">
      <c r="A1269" s="44" t="s">
        <v>144</v>
      </c>
      <c r="C1269">
        <v>19</v>
      </c>
      <c r="E1269" s="9">
        <v>43906</v>
      </c>
    </row>
    <row r="1270" spans="1:5" x14ac:dyDescent="0.45">
      <c r="A1270" s="44" t="s">
        <v>144</v>
      </c>
      <c r="C1270">
        <v>25</v>
      </c>
      <c r="E1270" s="9">
        <v>44041</v>
      </c>
    </row>
    <row r="1271" spans="1:5" x14ac:dyDescent="0.45">
      <c r="A1271" s="44" t="s">
        <v>144</v>
      </c>
      <c r="C1271">
        <v>7871</v>
      </c>
      <c r="D1271">
        <v>89.13</v>
      </c>
      <c r="E1271" s="9">
        <v>44276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668A-0B80-43DA-8BF0-2B85E470687F}">
  <sheetPr>
    <tabColor rgb="FFFF9999"/>
  </sheetPr>
  <dimension ref="A1:L21"/>
  <sheetViews>
    <sheetView workbookViewId="0">
      <selection activeCell="B26" sqref="B26"/>
    </sheetView>
  </sheetViews>
  <sheetFormatPr defaultRowHeight="14.25" x14ac:dyDescent="0.45"/>
  <cols>
    <col min="1" max="1" width="15" bestFit="1" customWidth="1"/>
    <col min="2" max="2" width="11.6640625" bestFit="1" customWidth="1"/>
    <col min="10" max="10" width="12.265625" bestFit="1" customWidth="1"/>
  </cols>
  <sheetData>
    <row r="1" spans="1:12" x14ac:dyDescent="0.45">
      <c r="A1" t="s">
        <v>661</v>
      </c>
      <c r="B1" t="s">
        <v>662</v>
      </c>
      <c r="D1" s="1" t="s">
        <v>80</v>
      </c>
      <c r="F1" s="1" t="s">
        <v>83</v>
      </c>
      <c r="H1" t="s">
        <v>82</v>
      </c>
      <c r="J1" t="s">
        <v>84</v>
      </c>
      <c r="L1" t="s">
        <v>81</v>
      </c>
    </row>
    <row r="2" spans="1:12" x14ac:dyDescent="0.45">
      <c r="A2" t="s">
        <v>80</v>
      </c>
      <c r="B2" t="s">
        <v>80</v>
      </c>
      <c r="D2" s="2" t="s">
        <v>99</v>
      </c>
      <c r="F2" s="3" t="s">
        <v>125</v>
      </c>
      <c r="H2" t="s">
        <v>116</v>
      </c>
      <c r="J2" t="s">
        <v>145</v>
      </c>
      <c r="L2" t="s">
        <v>108</v>
      </c>
    </row>
    <row r="3" spans="1:12" x14ac:dyDescent="0.45">
      <c r="A3" t="s">
        <v>83</v>
      </c>
      <c r="B3" t="s">
        <v>83</v>
      </c>
      <c r="D3" s="4" t="s">
        <v>100</v>
      </c>
      <c r="F3" s="5" t="s">
        <v>126</v>
      </c>
      <c r="H3" t="s">
        <v>117</v>
      </c>
      <c r="J3" t="s">
        <v>146</v>
      </c>
      <c r="L3" t="s">
        <v>109</v>
      </c>
    </row>
    <row r="4" spans="1:12" x14ac:dyDescent="0.45">
      <c r="A4" t="s">
        <v>82</v>
      </c>
      <c r="B4" t="s">
        <v>663</v>
      </c>
      <c r="D4" s="2" t="s">
        <v>101</v>
      </c>
      <c r="F4" s="3" t="s">
        <v>127</v>
      </c>
      <c r="H4" t="s">
        <v>118</v>
      </c>
      <c r="J4" t="s">
        <v>147</v>
      </c>
      <c r="L4" t="s">
        <v>110</v>
      </c>
    </row>
    <row r="5" spans="1:12" x14ac:dyDescent="0.45">
      <c r="A5" t="s">
        <v>84</v>
      </c>
      <c r="B5" t="s">
        <v>664</v>
      </c>
      <c r="D5" s="4" t="s">
        <v>102</v>
      </c>
      <c r="F5" s="5" t="s">
        <v>128</v>
      </c>
      <c r="H5" t="s">
        <v>119</v>
      </c>
      <c r="J5" t="s">
        <v>148</v>
      </c>
      <c r="L5" t="s">
        <v>111</v>
      </c>
    </row>
    <row r="6" spans="1:12" x14ac:dyDescent="0.45">
      <c r="A6" t="s">
        <v>81</v>
      </c>
      <c r="B6" t="s">
        <v>81</v>
      </c>
      <c r="D6" s="2" t="s">
        <v>103</v>
      </c>
      <c r="F6" s="3" t="s">
        <v>129</v>
      </c>
      <c r="H6" t="s">
        <v>120</v>
      </c>
      <c r="J6" t="s">
        <v>149</v>
      </c>
      <c r="L6" t="s">
        <v>112</v>
      </c>
    </row>
    <row r="7" spans="1:12" x14ac:dyDescent="0.45">
      <c r="D7" s="4" t="s">
        <v>104</v>
      </c>
      <c r="F7" s="5" t="s">
        <v>130</v>
      </c>
      <c r="H7" t="s">
        <v>121</v>
      </c>
      <c r="J7" t="s">
        <v>150</v>
      </c>
      <c r="L7" t="s">
        <v>113</v>
      </c>
    </row>
    <row r="8" spans="1:12" x14ac:dyDescent="0.45">
      <c r="D8" s="2" t="s">
        <v>105</v>
      </c>
      <c r="F8" s="3" t="s">
        <v>131</v>
      </c>
      <c r="H8" t="s">
        <v>123</v>
      </c>
      <c r="J8" t="s">
        <v>151</v>
      </c>
      <c r="L8" t="s">
        <v>114</v>
      </c>
    </row>
    <row r="9" spans="1:12" x14ac:dyDescent="0.45">
      <c r="D9" s="6" t="s">
        <v>106</v>
      </c>
      <c r="F9" s="5" t="s">
        <v>132</v>
      </c>
      <c r="H9" t="s">
        <v>124</v>
      </c>
      <c r="L9" t="s">
        <v>115</v>
      </c>
    </row>
    <row r="10" spans="1:12" x14ac:dyDescent="0.45">
      <c r="D10" s="6" t="s">
        <v>107</v>
      </c>
      <c r="F10" s="3" t="s">
        <v>133</v>
      </c>
      <c r="H10" t="s">
        <v>122</v>
      </c>
    </row>
    <row r="11" spans="1:12" x14ac:dyDescent="0.45">
      <c r="D11" s="6"/>
      <c r="F11" s="5" t="s">
        <v>134</v>
      </c>
    </row>
    <row r="12" spans="1:12" x14ac:dyDescent="0.45">
      <c r="D12" s="2"/>
      <c r="F12" s="3" t="s">
        <v>135</v>
      </c>
    </row>
    <row r="13" spans="1:12" x14ac:dyDescent="0.45">
      <c r="D13" s="2"/>
      <c r="F13" s="5" t="s">
        <v>136</v>
      </c>
    </row>
    <row r="14" spans="1:12" x14ac:dyDescent="0.45">
      <c r="D14" s="2"/>
      <c r="F14" s="3" t="s">
        <v>137</v>
      </c>
    </row>
    <row r="15" spans="1:12" x14ac:dyDescent="0.45">
      <c r="D15" s="2"/>
      <c r="F15" s="5" t="s">
        <v>138</v>
      </c>
    </row>
    <row r="16" spans="1:12" x14ac:dyDescent="0.45">
      <c r="D16" s="25"/>
      <c r="F16" s="3" t="s">
        <v>139</v>
      </c>
    </row>
    <row r="17" spans="6:6" x14ac:dyDescent="0.45">
      <c r="F17" s="3" t="s">
        <v>141</v>
      </c>
    </row>
    <row r="18" spans="6:6" x14ac:dyDescent="0.45">
      <c r="F18" s="41" t="s">
        <v>143</v>
      </c>
    </row>
    <row r="19" spans="6:6" x14ac:dyDescent="0.45">
      <c r="F19" s="3" t="s">
        <v>140</v>
      </c>
    </row>
    <row r="20" spans="6:6" x14ac:dyDescent="0.45">
      <c r="F20" s="41" t="s">
        <v>142</v>
      </c>
    </row>
    <row r="21" spans="6:6" x14ac:dyDescent="0.45">
      <c r="F21" s="41" t="s">
        <v>144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0B42-A720-4422-B23D-2729543D52D7}">
  <sheetPr>
    <tabColor rgb="FFFF9999"/>
  </sheetPr>
  <dimension ref="A1:C12"/>
  <sheetViews>
    <sheetView workbookViewId="0">
      <selection activeCell="B26" sqref="B26"/>
    </sheetView>
  </sheetViews>
  <sheetFormatPr defaultRowHeight="14.25" x14ac:dyDescent="0.45"/>
  <cols>
    <col min="3" max="3" width="13.59765625" customWidth="1"/>
  </cols>
  <sheetData>
    <row r="1" spans="1:3" x14ac:dyDescent="0.45">
      <c r="A1" t="s">
        <v>665</v>
      </c>
      <c r="B1" t="s">
        <v>666</v>
      </c>
      <c r="C1" t="s">
        <v>667</v>
      </c>
    </row>
    <row r="2" spans="1:3" x14ac:dyDescent="0.45">
      <c r="A2">
        <v>2011</v>
      </c>
      <c r="B2">
        <v>3.36</v>
      </c>
      <c r="C2">
        <f>fuel[[#This Row],[value]]/20</f>
        <v>0.16799999999999998</v>
      </c>
    </row>
    <row r="3" spans="1:3" x14ac:dyDescent="0.45">
      <c r="A3">
        <v>2012</v>
      </c>
      <c r="B3">
        <v>2.4300000000000002</v>
      </c>
      <c r="C3">
        <f>fuel[[#This Row],[value]]/20</f>
        <v>0.12150000000000001</v>
      </c>
    </row>
    <row r="4" spans="1:3" x14ac:dyDescent="0.45">
      <c r="A4">
        <v>2013</v>
      </c>
      <c r="B4">
        <v>2.14</v>
      </c>
      <c r="C4">
        <f>fuel[[#This Row],[value]]/20</f>
        <v>0.10700000000000001</v>
      </c>
    </row>
    <row r="5" spans="1:3" x14ac:dyDescent="0.45">
      <c r="A5">
        <v>2014</v>
      </c>
      <c r="B5">
        <v>2.42</v>
      </c>
      <c r="C5">
        <f>fuel[[#This Row],[value]]/20</f>
        <v>0.121</v>
      </c>
    </row>
    <row r="6" spans="1:3" x14ac:dyDescent="0.45">
      <c r="A6">
        <v>2015</v>
      </c>
      <c r="B6">
        <v>2.79</v>
      </c>
      <c r="C6">
        <f>fuel[[#This Row],[value]]/20</f>
        <v>0.13950000000000001</v>
      </c>
    </row>
    <row r="7" spans="1:3" x14ac:dyDescent="0.45">
      <c r="A7">
        <v>2016</v>
      </c>
      <c r="B7">
        <v>2.6</v>
      </c>
      <c r="C7">
        <f>fuel[[#This Row],[value]]/20</f>
        <v>0.13</v>
      </c>
    </row>
    <row r="8" spans="1:3" x14ac:dyDescent="0.45">
      <c r="A8">
        <v>2017</v>
      </c>
      <c r="B8">
        <v>2.16</v>
      </c>
      <c r="C8">
        <f>fuel[[#This Row],[value]]/20</f>
        <v>0.10800000000000001</v>
      </c>
    </row>
    <row r="9" spans="1:3" x14ac:dyDescent="0.45">
      <c r="A9">
        <v>2018</v>
      </c>
      <c r="B9">
        <v>2.5</v>
      </c>
      <c r="C9">
        <f>fuel[[#This Row],[value]]/20</f>
        <v>0.125</v>
      </c>
    </row>
    <row r="10" spans="1:3" x14ac:dyDescent="0.45">
      <c r="A10">
        <v>2019</v>
      </c>
      <c r="B10">
        <v>2.5</v>
      </c>
      <c r="C10">
        <f>fuel[[#This Row],[value]]/20</f>
        <v>0.125</v>
      </c>
    </row>
    <row r="11" spans="1:3" x14ac:dyDescent="0.45">
      <c r="A11">
        <v>2020</v>
      </c>
      <c r="B11">
        <v>3</v>
      </c>
      <c r="C11">
        <f>fuel[[#This Row],[value]]/20</f>
        <v>0.15</v>
      </c>
    </row>
    <row r="12" spans="1:3" x14ac:dyDescent="0.45">
      <c r="A12">
        <v>2021</v>
      </c>
      <c r="B12" s="47">
        <v>3</v>
      </c>
      <c r="C12">
        <f>fuel[[#This Row],[value]]/20</f>
        <v>0.15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E2BA-5E65-4B67-A39C-2FD91B56087B}">
  <dimension ref="A1:B13"/>
  <sheetViews>
    <sheetView workbookViewId="0"/>
  </sheetViews>
  <sheetFormatPr defaultRowHeight="14.25" x14ac:dyDescent="0.45"/>
  <sheetData>
    <row r="1" spans="1:2" x14ac:dyDescent="0.45">
      <c r="A1" t="s">
        <v>668</v>
      </c>
      <c r="B1" t="s">
        <v>669</v>
      </c>
    </row>
    <row r="2" spans="1:2" x14ac:dyDescent="0.45">
      <c r="A2" t="s">
        <v>670</v>
      </c>
      <c r="B2">
        <v>1</v>
      </c>
    </row>
    <row r="3" spans="1:2" x14ac:dyDescent="0.45">
      <c r="A3" t="s">
        <v>671</v>
      </c>
      <c r="B3">
        <v>2</v>
      </c>
    </row>
    <row r="4" spans="1:2" x14ac:dyDescent="0.45">
      <c r="A4" t="s">
        <v>672</v>
      </c>
      <c r="B4">
        <v>3</v>
      </c>
    </row>
    <row r="5" spans="1:2" x14ac:dyDescent="0.45">
      <c r="A5" t="s">
        <v>673</v>
      </c>
      <c r="B5">
        <v>4</v>
      </c>
    </row>
    <row r="6" spans="1:2" x14ac:dyDescent="0.45">
      <c r="A6" t="s">
        <v>674</v>
      </c>
      <c r="B6">
        <v>5</v>
      </c>
    </row>
    <row r="7" spans="1:2" x14ac:dyDescent="0.45">
      <c r="A7" t="s">
        <v>675</v>
      </c>
      <c r="B7">
        <v>6</v>
      </c>
    </row>
    <row r="8" spans="1:2" x14ac:dyDescent="0.45">
      <c r="A8" t="s">
        <v>676</v>
      </c>
      <c r="B8">
        <v>7</v>
      </c>
    </row>
    <row r="9" spans="1:2" x14ac:dyDescent="0.45">
      <c r="A9" t="s">
        <v>677</v>
      </c>
      <c r="B9">
        <v>8</v>
      </c>
    </row>
    <row r="10" spans="1:2" x14ac:dyDescent="0.45">
      <c r="A10" t="s">
        <v>678</v>
      </c>
      <c r="B10">
        <v>9</v>
      </c>
    </row>
    <row r="11" spans="1:2" x14ac:dyDescent="0.45">
      <c r="A11" t="s">
        <v>679</v>
      </c>
      <c r="B11">
        <v>10</v>
      </c>
    </row>
    <row r="12" spans="1:2" x14ac:dyDescent="0.45">
      <c r="A12" t="s">
        <v>680</v>
      </c>
      <c r="B12">
        <v>11</v>
      </c>
    </row>
    <row r="13" spans="1:2" x14ac:dyDescent="0.45">
      <c r="A13" t="s">
        <v>681</v>
      </c>
      <c r="B13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</vt:i4>
      </vt:variant>
    </vt:vector>
  </HeadingPairs>
  <TitlesOfParts>
    <vt:vector size="23" baseType="lpstr">
      <vt:lpstr>readme</vt:lpstr>
      <vt:lpstr>to-dos</vt:lpstr>
      <vt:lpstr>grand-summary</vt:lpstr>
      <vt:lpstr>summary-by-location</vt:lpstr>
      <vt:lpstr>model</vt:lpstr>
      <vt:lpstr>copied-data-all-vehicles</vt:lpstr>
      <vt:lpstr>fleetio</vt:lpstr>
      <vt:lpstr>vehicle-data</vt:lpstr>
      <vt:lpstr>Sheet1</vt:lpstr>
      <vt:lpstr>maintenance-costs</vt:lpstr>
      <vt:lpstr>locations-vehicles</vt:lpstr>
      <vt:lpstr>fuel_costs</vt:lpstr>
      <vt:lpstr>months</vt:lpstr>
      <vt:lpstr>Austin</vt:lpstr>
      <vt:lpstr>Delaware</vt:lpstr>
      <vt:lpstr>Grand_Rapids</vt:lpstr>
      <vt:lpstr>location_name</vt:lpstr>
      <vt:lpstr>locations</vt:lpstr>
      <vt:lpstr>model!Print_Area</vt:lpstr>
      <vt:lpstr>'summary-by-location'!Print_Area</vt:lpstr>
      <vt:lpstr>model!Print_Titles</vt:lpstr>
      <vt:lpstr>Redford</vt:lpstr>
      <vt:lpstr>South_Bend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George Mount</cp:lastModifiedBy>
  <cp:revision/>
  <dcterms:created xsi:type="dcterms:W3CDTF">2015-06-05T18:17:20Z</dcterms:created>
  <dcterms:modified xsi:type="dcterms:W3CDTF">2022-11-08T22:08:08Z</dcterms:modified>
  <cp:category/>
  <cp:contentStatus/>
</cp:coreProperties>
</file>